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60" windowWidth="12120" windowHeight="4785" activeTab="0"/>
  </bookViews>
  <sheets>
    <sheet name="CU-Format 10 &amp; 70" sheetId="1" r:id="rId1"/>
    <sheet name="UCB" sheetId="2" r:id="rId2"/>
    <sheet name="UCCS" sheetId="3" r:id="rId3"/>
    <sheet name="DDC" sheetId="4" r:id="rId4"/>
    <sheet name="HSC" sheetId="5" r:id="rId5"/>
    <sheet name="System Administration" sheetId="6" r:id="rId6"/>
  </sheets>
  <externalReferences>
    <externalReference r:id="rId9"/>
  </externalReferences>
  <definedNames>
    <definedName name="_Fill" hidden="1">'UCCS'!#REF!</definedName>
    <definedName name="_Regression_Int" localSheetId="2" hidden="1">1</definedName>
    <definedName name="FMT10">'UCCS'!#REF!</definedName>
    <definedName name="FMT100">'UCCS'!#REF!</definedName>
    <definedName name="FMT1100">'UCCS'!$A$601:$M$637</definedName>
    <definedName name="FMT1200">'UCCS'!$A$639:$M$674</definedName>
    <definedName name="FMT1300">'UCCS'!$A$676:$M$711</definedName>
    <definedName name="FMT1400">'UCCS'!$A$713:$M$748</definedName>
    <definedName name="FMT15">'UCCS'!#REF!</definedName>
    <definedName name="FMT1500">'UCCS'!$A$750:$M$785</definedName>
    <definedName name="FMT1600">'UCCS'!$A$788:$M$821</definedName>
    <definedName name="FMT1700">'UCCS'!$A$823:$M$873</definedName>
    <definedName name="FMT1800">'UCCS'!$A$875:$M$909</definedName>
    <definedName name="FMT1900">'UCCS'!$A$913:$M$947</definedName>
    <definedName name="FMT20">'UCCS'!$A$82:$M$116</definedName>
    <definedName name="FMT2000">'UCCS'!$A$950:$M$982</definedName>
    <definedName name="FMT30">'UCCS'!#REF!</definedName>
    <definedName name="FMT35NR">'UCCS'!#REF!</definedName>
    <definedName name="FMT35R">'UCCS'!#REF!</definedName>
    <definedName name="FMT410">'UCCS'!#REF!</definedName>
    <definedName name="FMT411">'UCCS'!#REF!</definedName>
    <definedName name="FMT600">'UCCS'!#REF!</definedName>
    <definedName name="FMT9100">'UCCS'!#REF!</definedName>
    <definedName name="FMT9999">'UCCS'!#REF!</definedName>
    <definedName name="OLE_LINK1" localSheetId="2">'UCCS'!#REF!</definedName>
    <definedName name="_xlnm.Print_Area" localSheetId="0">'CU-Format 10 &amp; 70'!$A$1:$M$82</definedName>
    <definedName name="_xlnm.Print_Area" localSheetId="3">'DDC'!$A$1:$M$982</definedName>
    <definedName name="_xlnm.Print_Area" localSheetId="4">'HSC'!$A$1:$M$1030</definedName>
    <definedName name="_xlnm.Print_Area" localSheetId="5">'System Administration'!$A$1:$M$368</definedName>
    <definedName name="_xlnm.Print_Area" localSheetId="1">'UCB'!$A$2:$M$1026</definedName>
    <definedName name="_xlnm.Print_Area" localSheetId="2">'UCCS'!$A$1:$M$1022</definedName>
    <definedName name="Print_Area_MI" localSheetId="2">'UCCS'!#REF!</definedName>
  </definedNames>
  <calcPr fullCalcOnLoad="1"/>
</workbook>
</file>

<file path=xl/sharedStrings.xml><?xml version="1.0" encoding="utf-8"?>
<sst xmlns="http://schemas.openxmlformats.org/spreadsheetml/2006/main" count="6873" uniqueCount="670">
  <si>
    <t xml:space="preserve"> </t>
  </si>
  <si>
    <t>-</t>
  </si>
  <si>
    <t>Ln</t>
  </si>
  <si>
    <t>Functional Expenditure</t>
  </si>
  <si>
    <t>No</t>
  </si>
  <si>
    <t xml:space="preserve">Summary  </t>
  </si>
  <si>
    <t xml:space="preserve">FTE </t>
  </si>
  <si>
    <t>Actual</t>
  </si>
  <si>
    <t>Estimate</t>
  </si>
  <si>
    <t>Instruction</t>
  </si>
  <si>
    <t>Research (State Supported)</t>
  </si>
  <si>
    <t>Public Service</t>
  </si>
  <si>
    <t>Academic Support</t>
  </si>
  <si>
    <t>Student Services</t>
  </si>
  <si>
    <t>Institutional Support</t>
  </si>
  <si>
    <t>Scholarships &amp; Fellowships</t>
  </si>
  <si>
    <t>Transfers</t>
  </si>
  <si>
    <t>SOURCE OF FUNDS (Fund Number)</t>
  </si>
  <si>
    <t>Format   20</t>
  </si>
  <si>
    <t>INSTITUTION SUMMARY</t>
  </si>
  <si>
    <t xml:space="preserve"> Object</t>
  </si>
  <si>
    <t>FTE</t>
  </si>
  <si>
    <t>Format 1100</t>
  </si>
  <si>
    <t xml:space="preserve">  Subtotal Exempt Staff</t>
  </si>
  <si>
    <t>Compensation, Support Assistants</t>
  </si>
  <si>
    <t>Salaries, Classified Staff</t>
  </si>
  <si>
    <t>Benefits, Classified Staff</t>
  </si>
  <si>
    <t xml:space="preserve">  Subtotal Support Staff</t>
  </si>
  <si>
    <t>Total Personnel</t>
  </si>
  <si>
    <t>Hourly Compensation</t>
  </si>
  <si>
    <t>Travel</t>
  </si>
  <si>
    <t>Other Current Expense</t>
  </si>
  <si>
    <t xml:space="preserve">Capital </t>
  </si>
  <si>
    <t>Format 1200</t>
  </si>
  <si>
    <t>Compensation, Research Assistants</t>
  </si>
  <si>
    <t>Format 1300</t>
  </si>
  <si>
    <t>Salaries, Exempt</t>
  </si>
  <si>
    <t>Benefits, Exempt</t>
  </si>
  <si>
    <t>Hourly Compensation/Other Support Assistants</t>
  </si>
  <si>
    <t>Format 1400</t>
  </si>
  <si>
    <t>Learning Materials</t>
  </si>
  <si>
    <t>Format 1500</t>
  </si>
  <si>
    <t>AHEC</t>
  </si>
  <si>
    <t>Format 1600</t>
  </si>
  <si>
    <t>Format 1700</t>
  </si>
  <si>
    <t>Utilities</t>
  </si>
  <si>
    <t>Rentals</t>
  </si>
  <si>
    <t>GROSS SQUARE FEET MAINTAINED (Appropriated)</t>
  </si>
  <si>
    <t>At Beginning of Year</t>
  </si>
  <si>
    <t>Gross Sq. Ft. Added During Year (List)</t>
  </si>
  <si>
    <t>Gross Sq. Ft. Eliminated During Year (List)</t>
  </si>
  <si>
    <t>Average Gross Sq. Ft. Maintained</t>
  </si>
  <si>
    <t>Acres Maintained by Grounds Staff</t>
  </si>
  <si>
    <t>Format 1800</t>
  </si>
  <si>
    <t>Scholarships and Fellowships</t>
  </si>
  <si>
    <t>Format 1900</t>
  </si>
  <si>
    <t>Format 2000</t>
  </si>
  <si>
    <t>TRANSFERS (TO) FROM CURRENT UNRESTRICTED EDUCATION &amp; GENERAL FUNDS</t>
  </si>
  <si>
    <t>Mandatory Transfers:</t>
  </si>
  <si>
    <t xml:space="preserve">Operation &amp; Maintenance of Plant </t>
  </si>
  <si>
    <t>Format  100</t>
  </si>
  <si>
    <t>SUMMER</t>
  </si>
  <si>
    <t xml:space="preserve">  Resident</t>
  </si>
  <si>
    <t>Graduate</t>
  </si>
  <si>
    <t>Undergraduate</t>
  </si>
  <si>
    <t xml:space="preserve">  Nonresident</t>
  </si>
  <si>
    <t xml:space="preserve">  Subtotal Summer</t>
  </si>
  <si>
    <t>FALL</t>
  </si>
  <si>
    <t xml:space="preserve">  Subtotal Fall</t>
  </si>
  <si>
    <t>WINTER</t>
  </si>
  <si>
    <t xml:space="preserve">  Subtotal Winter</t>
  </si>
  <si>
    <t>SPRING</t>
  </si>
  <si>
    <t xml:space="preserve">  Subtotal Spring</t>
  </si>
  <si>
    <t>SUBTOTAL</t>
  </si>
  <si>
    <t>SUBTOTAL RESIDENT</t>
  </si>
  <si>
    <t>SUBTOTAL NONRESIDENT</t>
  </si>
  <si>
    <t>SUBTOTAL GRADUATE</t>
  </si>
  <si>
    <t>TOTAL NONEXEMPT TUITION REVENUE</t>
  </si>
  <si>
    <t>Format  410</t>
  </si>
  <si>
    <t>OTHER STATE APPROPRIATED EDUCATION &amp; GENERAL REVENUES</t>
  </si>
  <si>
    <t xml:space="preserve">  Incidental Income - Educational Activities</t>
  </si>
  <si>
    <t xml:space="preserve">  Miscellaneous Income</t>
  </si>
  <si>
    <t>Total Operating Revenues</t>
  </si>
  <si>
    <t xml:space="preserve">  Rents</t>
  </si>
  <si>
    <t>Format  411</t>
  </si>
  <si>
    <t>NON STATE APPROPRIATED EDUCATION &amp; GENERAL REVENUES</t>
  </si>
  <si>
    <t>Indirect Cost Recoveries</t>
  </si>
  <si>
    <t>Miscellaneous Revenues</t>
  </si>
  <si>
    <t>Investment Income</t>
  </si>
  <si>
    <t>Format  600</t>
  </si>
  <si>
    <t>Regular Appropriation (Gov. Board Allocation)</t>
  </si>
  <si>
    <t>Supplemental and Special Bills (Itemize)</t>
  </si>
  <si>
    <t>TOTAL OTHER STATE APPROPRIATED UNRESTRICTED E &amp; G REVENUES</t>
  </si>
  <si>
    <t>Total Other State Appropriated Unrestricted Education &amp; General Revenues</t>
  </si>
  <si>
    <t>Other State Appropriated Unrestricted Education &amp; General Revenues (Itemize)</t>
  </si>
  <si>
    <t>Non State Appropriated Unrestricted Education &amp; General Revenues (Itemize)</t>
  </si>
  <si>
    <t>Total Non State Appropriated Unrestricted Education &amp; General Revenues</t>
  </si>
  <si>
    <t>TOTAL NON STATE APPROPRIATED UNRESTRICTED E &amp; G REVENUES</t>
  </si>
  <si>
    <t>Subtotal Mandatory Transfers:</t>
  </si>
  <si>
    <t>EDUCATION &amp; GENERAL FUNDS 310 and 311</t>
  </si>
  <si>
    <t>Fmt. 2000 Ln 20</t>
  </si>
  <si>
    <t>Hospitals</t>
  </si>
  <si>
    <t>Scholarship Allowance related to Unrestricted Education &amp; General Revenue</t>
  </si>
  <si>
    <t>State Capital</t>
  </si>
  <si>
    <t>Cash Funds</t>
  </si>
  <si>
    <t>Const. Fund</t>
  </si>
  <si>
    <t>Exempt</t>
  </si>
  <si>
    <t>CAPITAL CONSTRUCTION</t>
  </si>
  <si>
    <t>CONTROLLED MAINTENANCE</t>
  </si>
  <si>
    <t>TOTAL APPROPRIATIONS</t>
  </si>
  <si>
    <t>Format 9200</t>
  </si>
  <si>
    <t>State Project Number,  Project Name</t>
  </si>
  <si>
    <t>Prior Appropriations</t>
  </si>
  <si>
    <t>Bill Number</t>
  </si>
  <si>
    <t>by Bill Number</t>
  </si>
  <si>
    <t>Auraria Library</t>
  </si>
  <si>
    <t>Total Non-Operating Revenues</t>
  </si>
  <si>
    <t>Fmt. 1100 Ln 25</t>
  </si>
  <si>
    <t>Fmt. 1200 Ln 25</t>
  </si>
  <si>
    <t>Fmt. 1300 Ln 25</t>
  </si>
  <si>
    <t>Fmt. 1400 Ln 25</t>
  </si>
  <si>
    <t>Fmt. 1500 Ln 25</t>
  </si>
  <si>
    <t>Fmt. 1600 Ln 25</t>
  </si>
  <si>
    <t>Fmt. 1700 Ln 25</t>
  </si>
  <si>
    <t>Fmt. 1800 Ln 25</t>
  </si>
  <si>
    <t>Fmt. 1900 Ln 25</t>
  </si>
  <si>
    <t>Governing Board Summary</t>
  </si>
  <si>
    <t>Format   10</t>
  </si>
  <si>
    <t>Format   30</t>
  </si>
  <si>
    <t>STUDENT, FACULTY, AND  STAFF DATA</t>
  </si>
  <si>
    <t>STUDENT FTE DATA</t>
  </si>
  <si>
    <t xml:space="preserve">  Resident Graduate FTE</t>
  </si>
  <si>
    <t xml:space="preserve">  Total Resident FTE </t>
  </si>
  <si>
    <t xml:space="preserve">  Nonresident Undergraduate FTE</t>
  </si>
  <si>
    <t xml:space="preserve">  Nonresident Graduate FTE</t>
  </si>
  <si>
    <t xml:space="preserve">  Total Nonresident FTE </t>
  </si>
  <si>
    <t xml:space="preserve">  Total FTE Undergraduate</t>
  </si>
  <si>
    <t xml:space="preserve">  Total FTE Graduate</t>
  </si>
  <si>
    <t xml:space="preserve">  Total FTE Students</t>
  </si>
  <si>
    <t>COST PER STUDENT</t>
  </si>
  <si>
    <t>INSTRUCTIONAL FACULTY DATA (SOURCE FMT 40 OR FMT 1100)</t>
  </si>
  <si>
    <t xml:space="preserve">  Faculty FTE Total</t>
  </si>
  <si>
    <t xml:space="preserve">  FTE Full-time Faculty</t>
  </si>
  <si>
    <t xml:space="preserve">  FTE Part-time Faculty</t>
  </si>
  <si>
    <t>AVG COMPENSATION INSTRUCTIONAL FACULTY</t>
  </si>
  <si>
    <t xml:space="preserve">  All Faculty Combined</t>
  </si>
  <si>
    <t xml:space="preserve">  Full-time Average Compensation</t>
  </si>
  <si>
    <t xml:space="preserve">  Part-time Average Compensation</t>
  </si>
  <si>
    <t>Total Faculty and Staff FTE  (Format 20)</t>
  </si>
  <si>
    <t>Format   35R</t>
  </si>
  <si>
    <t>UNDERGRADUATE</t>
  </si>
  <si>
    <t xml:space="preserve">     General</t>
  </si>
  <si>
    <t xml:space="preserve">     Differential Rates (List below)</t>
  </si>
  <si>
    <t>GRADUATE</t>
  </si>
  <si>
    <t>PROFESSIONAL</t>
  </si>
  <si>
    <t>Format   35NR</t>
  </si>
  <si>
    <t>NON-RESIDENT FULL-TIME (15 HOUR) TUITION RATES PER ACADEMIC YEAR</t>
  </si>
  <si>
    <t>Budget Data Book</t>
  </si>
  <si>
    <t>Format 1</t>
  </si>
  <si>
    <t>UNRESTRICTED EDUCATION &amp; GENERAL - INSTRUCTION</t>
  </si>
  <si>
    <t>UNRESTRICTED EDUCATION &amp; GENERAL - RESEARCH</t>
  </si>
  <si>
    <t>UNRESTRICTED EDUCATION &amp; GENERAL - PUBLIC SERVICE</t>
  </si>
  <si>
    <t>UNRESTRICTED EDUCATION &amp; GENERAL - ACADEMIC SUPPORT</t>
  </si>
  <si>
    <t>UNRESTRICTED EDUCATION &amp; GENERAL - STUDENT SERVICES</t>
  </si>
  <si>
    <t>UNRESTRICTED EDUCATION &amp; GENERAL - INSTITUTIONAL SUPPORT</t>
  </si>
  <si>
    <t>UNRESTRICTED EDUCATION &amp; GENERAL - OPERATION &amp; MAINTENANCE OF PLANT</t>
  </si>
  <si>
    <t>UNRESTRICTED EDUCATION &amp; GENERAL - SCHOLARSHIPS &amp; FELLOWSHIPS</t>
  </si>
  <si>
    <t>UNRESTRICTED EDUCATION &amp; GENERAL -  HOSPITALS</t>
  </si>
  <si>
    <t>APPROPRIATED CAPITAL CONSTRUCTION AND CONTROLLED MAINTENANCE</t>
  </si>
  <si>
    <t>Non-mandatory Transfers:</t>
  </si>
  <si>
    <t>Subtotal Non-mandatory Transfers:</t>
  </si>
  <si>
    <t>Amt of Scholarships/Fellowships offset to Nonexempt Revenues as Scholarship Allowance</t>
  </si>
  <si>
    <t>2005-06</t>
  </si>
  <si>
    <t>Total Tuition</t>
  </si>
  <si>
    <t>RESIDENT FULL-TIME (15 HOUR) STUDENT SHARE TUITION RATES PER ACADEMIC YEAR</t>
  </si>
  <si>
    <t xml:space="preserve">     The Student Share Tuition Assumes Student Eligibility For The Stipend.</t>
  </si>
  <si>
    <t>Format   40</t>
  </si>
  <si>
    <t>SUMMARY</t>
  </si>
  <si>
    <t>ACTUAL</t>
  </si>
  <si>
    <t>S/F</t>
  </si>
  <si>
    <t>COURSE LEVEL</t>
  </si>
  <si>
    <t>STUDENTS</t>
  </si>
  <si>
    <t>FACULTY</t>
  </si>
  <si>
    <t>RATIO</t>
  </si>
  <si>
    <t>Vocational</t>
  </si>
  <si>
    <t>Lower Level</t>
  </si>
  <si>
    <t>Upper Level</t>
  </si>
  <si>
    <t xml:space="preserve">     Total Undergraduate</t>
  </si>
  <si>
    <t>Graduate I</t>
  </si>
  <si>
    <t>Graduate II</t>
  </si>
  <si>
    <t xml:space="preserve">     Total Graduate</t>
  </si>
  <si>
    <t>Grand Total</t>
  </si>
  <si>
    <t xml:space="preserve">NOTE:  Institutions are required to maintain detailed information on the above data by Classification of Instructional Program (CIP) area.  </t>
  </si>
  <si>
    <t xml:space="preserve">            Detailed data available upon request.</t>
  </si>
  <si>
    <t>Date: 10/01/05</t>
  </si>
  <si>
    <t>Non-Resident Tuition</t>
  </si>
  <si>
    <t>Other Restrictions of General Fund / Revenue</t>
  </si>
  <si>
    <t>TOTAL APPROPRIATION REVENUES</t>
  </si>
  <si>
    <t>Format  700</t>
  </si>
  <si>
    <t>Subtotal Appropriated Unrestricted E &amp; G Program Code 11XX</t>
  </si>
  <si>
    <t>Total E&amp;G Cost Per FTE Student</t>
  </si>
  <si>
    <t>(E&amp;G COFRS Program Code 11XX)</t>
  </si>
  <si>
    <t>Scholarship Allowance related to Nonexempt Current COFRS Program Code 11XX</t>
  </si>
  <si>
    <t>(Nonexempt Current E&amp;G COFRS Program Code 11XX)</t>
  </si>
  <si>
    <t>(Exempt Current E&amp;G COFRS Program Code 11XX)</t>
  </si>
  <si>
    <t>Rollforward to Future Year (includes$ for comp. Absences)</t>
  </si>
  <si>
    <t>Rollforward to Future Year (includes $ for comp. Absences)</t>
  </si>
  <si>
    <t>Rollforward from Prior Year</t>
  </si>
  <si>
    <t xml:space="preserve">  Educational services in rural areas or communities in which the cost of delivering</t>
  </si>
  <si>
    <t xml:space="preserve">  the educational services is not sustained by the amount received in student tuition</t>
  </si>
  <si>
    <t xml:space="preserve">  Basic skills courses</t>
  </si>
  <si>
    <t xml:space="preserve">  Postsecondary enrollment options</t>
  </si>
  <si>
    <t xml:space="preserve">  Fast track</t>
  </si>
  <si>
    <t xml:space="preserve">  Reciprocal </t>
  </si>
  <si>
    <t xml:space="preserve">  Graduate school services</t>
  </si>
  <si>
    <t xml:space="preserve">  Economic development</t>
  </si>
  <si>
    <t xml:space="preserve">  Specialized educational services and professional degrees, including but not limited</t>
  </si>
  <si>
    <t xml:space="preserve">  to the areas of dentistry, medicine, veterinary medicine, nursing, law, forestry</t>
  </si>
  <si>
    <t xml:space="preserve">  and engineering</t>
  </si>
  <si>
    <t>Non State Exempt Appropriated Unrestricted E &amp; G Program Code 11XX</t>
  </si>
  <si>
    <t xml:space="preserve">Undergraduate </t>
  </si>
  <si>
    <t>* This is not needed by institution, but only in total for the system.</t>
  </si>
  <si>
    <t>Contracts</t>
  </si>
  <si>
    <t>Total</t>
  </si>
  <si>
    <t>--------------------------------------------------------------------------------------------------------------------------------------------------</t>
  </si>
  <si>
    <t>-------------------------------------------------------</t>
  </si>
  <si>
    <t>State Appropriation</t>
  </si>
  <si>
    <t>FFS Contracts</t>
  </si>
  <si>
    <t>2A</t>
  </si>
  <si>
    <t>2B</t>
  </si>
  <si>
    <t>2C</t>
  </si>
  <si>
    <t>COF Resident Undergraduate FTE</t>
  </si>
  <si>
    <t>Non-COF Resident Undergraduate FTE</t>
  </si>
  <si>
    <t>Total Resident Undergraduate FTE</t>
  </si>
  <si>
    <t>16A</t>
  </si>
  <si>
    <t>General Fund Per Resident FTE (04-05 ONLY)</t>
  </si>
  <si>
    <t>TOTAL TUITION REVENUE and STUDENT FTE</t>
  </si>
  <si>
    <t>Total Tuition Includes Stipend Reimbursement</t>
  </si>
  <si>
    <t xml:space="preserve"> State Grants and Contracts (Not FFS)</t>
  </si>
  <si>
    <t>Rents</t>
  </si>
  <si>
    <t>Miscellaneous Income</t>
  </si>
  <si>
    <t xml:space="preserve">  Investment Income</t>
  </si>
  <si>
    <t>STATE SUPPORT</t>
  </si>
  <si>
    <t>Insurance (Property and Liability)</t>
  </si>
  <si>
    <t>SUBTOTAL UNDERGRADUATE</t>
  </si>
  <si>
    <t>Compensation, Part-Time Exempt</t>
  </si>
  <si>
    <t>Other Current Expense (DO NOT INCLUDE PROPERTY, LIABILITY, AND WORKER'S COMP)</t>
  </si>
  <si>
    <t>FY 2006 Appropriation</t>
  </si>
  <si>
    <t>Other State Appropriated Nonexempt Unrestricted E&amp;G</t>
  </si>
  <si>
    <t xml:space="preserve">  Instructional Fees / Course Fees</t>
  </si>
  <si>
    <t xml:space="preserve">  Student Activity Fees</t>
  </si>
  <si>
    <t>APPROPRIATED DEDICATED STUDENT FEES FOR THE CONSTRUCTION OF FACILITIES</t>
  </si>
  <si>
    <t>Format  412</t>
  </si>
  <si>
    <t xml:space="preserve">     Revenues Generated from Fees</t>
  </si>
  <si>
    <t xml:space="preserve">     Amount of Fee per Full-Time Student</t>
  </si>
  <si>
    <t>Undergraduate Resident Tuition "Student Share"</t>
  </si>
  <si>
    <t>Undergraduate Resident Tuition "Stipend"</t>
  </si>
  <si>
    <t>Subtotal Undergraduate Tuition</t>
  </si>
  <si>
    <t>Graduate Resident Tuition</t>
  </si>
  <si>
    <t>Appropriated Facility Fees</t>
  </si>
  <si>
    <t>Appropriated Fees for the Construction of Academic Facilities</t>
  </si>
  <si>
    <t>Fmt. 600 Ln 25</t>
  </si>
  <si>
    <t>Fmt. 700 Ln 1</t>
  </si>
  <si>
    <t>Other Mandatory Fees</t>
  </si>
  <si>
    <t>Mandatory Registration and Course Fees</t>
  </si>
  <si>
    <r>
      <t xml:space="preserve">TOTAL </t>
    </r>
    <r>
      <rPr>
        <b/>
        <sz val="9"/>
        <rFont val="Times New Roman"/>
        <family val="1"/>
      </rPr>
      <t xml:space="preserve">UNRESTRICTED </t>
    </r>
    <r>
      <rPr>
        <sz val="9"/>
        <rFont val="Times New Roman"/>
        <family val="1"/>
      </rPr>
      <t>EDUCATION &amp; GENERAL EXPENDITURES</t>
    </r>
  </si>
  <si>
    <r>
      <t xml:space="preserve">TOTAL </t>
    </r>
    <r>
      <rPr>
        <b/>
        <sz val="9"/>
        <rFont val="Times New Roman"/>
        <family val="1"/>
      </rPr>
      <t>UNRESTRICTED</t>
    </r>
    <r>
      <rPr>
        <sz val="9"/>
        <rFont val="Times New Roman"/>
        <family val="1"/>
      </rPr>
      <t xml:space="preserve"> EDUCATION &amp; GENERAL REVENUE</t>
    </r>
  </si>
  <si>
    <r>
      <t xml:space="preserve">TOTAL </t>
    </r>
    <r>
      <rPr>
        <b/>
        <sz val="9"/>
        <rFont val="Times New Roman"/>
        <family val="1"/>
      </rPr>
      <t>UNRESTRICTED EDUCATION &amp; GENERAL</t>
    </r>
    <r>
      <rPr>
        <sz val="9"/>
        <rFont val="Times New Roman"/>
        <family val="1"/>
      </rPr>
      <t xml:space="preserve"> INSTRUCTION </t>
    </r>
  </si>
  <si>
    <r>
      <t xml:space="preserve">TOTAL </t>
    </r>
    <r>
      <rPr>
        <b/>
        <sz val="9"/>
        <rFont val="Times New Roman"/>
        <family val="1"/>
      </rPr>
      <t>UNRESTRICTED EDUCATION &amp; GENERAL</t>
    </r>
    <r>
      <rPr>
        <sz val="9"/>
        <rFont val="Times New Roman"/>
        <family val="1"/>
      </rPr>
      <t xml:space="preserve"> RESEARCH</t>
    </r>
  </si>
  <si>
    <r>
      <t xml:space="preserve">TOTAL </t>
    </r>
    <r>
      <rPr>
        <b/>
        <sz val="9"/>
        <rFont val="Times New Roman"/>
        <family val="1"/>
      </rPr>
      <t>UNRESTRICTED EDUCATION &amp; GENERAL</t>
    </r>
    <r>
      <rPr>
        <sz val="9"/>
        <rFont val="Times New Roman"/>
        <family val="1"/>
      </rPr>
      <t xml:space="preserve"> PUBLIC SERVICE</t>
    </r>
  </si>
  <si>
    <r>
      <t xml:space="preserve">TOTAL </t>
    </r>
    <r>
      <rPr>
        <b/>
        <sz val="9"/>
        <rFont val="Times New Roman"/>
        <family val="1"/>
      </rPr>
      <t>UNRESTRICTED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EDUCATION &amp; GENERAL</t>
    </r>
    <r>
      <rPr>
        <sz val="9"/>
        <rFont val="Times New Roman"/>
        <family val="1"/>
      </rPr>
      <t xml:space="preserve"> ACADEMIC SUPPORT</t>
    </r>
  </si>
  <si>
    <r>
      <t xml:space="preserve">TOTAL </t>
    </r>
    <r>
      <rPr>
        <b/>
        <sz val="9"/>
        <rFont val="Times New Roman"/>
        <family val="1"/>
      </rPr>
      <t>UNRESTRICTED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EDUCATION &amp; GENERAL</t>
    </r>
    <r>
      <rPr>
        <sz val="9"/>
        <rFont val="Times New Roman"/>
        <family val="1"/>
      </rPr>
      <t xml:space="preserve"> STUDENT SERVICES</t>
    </r>
  </si>
  <si>
    <r>
      <t xml:space="preserve">TOTAL </t>
    </r>
    <r>
      <rPr>
        <b/>
        <sz val="9"/>
        <rFont val="Times New Roman"/>
        <family val="1"/>
      </rPr>
      <t>UNRESTRICTED EDUCATION &amp; GENERAL</t>
    </r>
    <r>
      <rPr>
        <sz val="9"/>
        <rFont val="Times New Roman"/>
        <family val="1"/>
      </rPr>
      <t xml:space="preserve"> INSTITUTIONAL SUPPORT</t>
    </r>
  </si>
  <si>
    <r>
      <t xml:space="preserve">TOTAL </t>
    </r>
    <r>
      <rPr>
        <b/>
        <sz val="9"/>
        <rFont val="Times New Roman"/>
        <family val="1"/>
      </rPr>
      <t>UNRESTRICTED EDUCATION &amp; GENERAL</t>
    </r>
    <r>
      <rPr>
        <sz val="9"/>
        <rFont val="Times New Roman"/>
        <family val="1"/>
      </rPr>
      <t xml:space="preserve"> SCHOLARSHIPS &amp; FELLOWSHIPS</t>
    </r>
  </si>
  <si>
    <r>
      <t xml:space="preserve">TOTAL </t>
    </r>
    <r>
      <rPr>
        <b/>
        <sz val="9"/>
        <rFont val="Times New Roman"/>
        <family val="1"/>
      </rPr>
      <t>UNRESTRICTED EDUCATION &amp; GENERAL</t>
    </r>
    <r>
      <rPr>
        <sz val="9"/>
        <rFont val="Times New Roman"/>
        <family val="1"/>
      </rPr>
      <t xml:space="preserve"> AUXILIARIES</t>
    </r>
  </si>
  <si>
    <r>
      <t xml:space="preserve">TOTAL TRANSFERS </t>
    </r>
    <r>
      <rPr>
        <b/>
        <sz val="9"/>
        <rFont val="Times New Roman"/>
        <family val="1"/>
      </rPr>
      <t>(TO) FROM FUNDS CURRENT UNRESTRICTED</t>
    </r>
  </si>
  <si>
    <r>
      <t xml:space="preserve">TOTAL </t>
    </r>
    <r>
      <rPr>
        <b/>
        <sz val="8"/>
        <rFont val="Times New Roman"/>
        <family val="1"/>
      </rPr>
      <t>UNRESTRICTED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EDUCATION &amp; GENERAL</t>
    </r>
    <r>
      <rPr>
        <sz val="8"/>
        <rFont val="Times New Roman"/>
        <family val="1"/>
      </rPr>
      <t xml:space="preserve"> OPERATION &amp; MAINT /of PLANT</t>
    </r>
  </si>
  <si>
    <t>Fmt. 410 Ln 20</t>
  </si>
  <si>
    <t>Fmt. 100</t>
  </si>
  <si>
    <t>Fmt. 411 Ln 20</t>
  </si>
  <si>
    <t>2006-07</t>
  </si>
  <si>
    <t>FY 2007 Appropriation</t>
  </si>
  <si>
    <t>COF Stipend Per Undergraduate Resident FTE (05-06 and Forward)</t>
  </si>
  <si>
    <t xml:space="preserve">           SB 05-209</t>
  </si>
  <si>
    <t>N/A</t>
  </si>
  <si>
    <t xml:space="preserve">               Actual Fiscal Years 2005-2006 and 2006-07</t>
  </si>
  <si>
    <t xml:space="preserve">               Estimate Fiscal Year 2007-08</t>
  </si>
  <si>
    <t>Submitted: October 1, 2007</t>
  </si>
  <si>
    <t>Date: 10/1/2007</t>
  </si>
  <si>
    <t>2007-08</t>
  </si>
  <si>
    <t>FY 2008 Appropriation</t>
  </si>
  <si>
    <t>Fee-For-Service Contracts (System Level Only)</t>
  </si>
  <si>
    <t>Fee-For-Service Contracts (Institutional Level Only)</t>
  </si>
  <si>
    <t>Format  070</t>
  </si>
  <si>
    <t>UNIVERSITY OF COLORADO at COLORADO SPRINGS</t>
  </si>
  <si>
    <t xml:space="preserve">          Lower Division</t>
  </si>
  <si>
    <t xml:space="preserve">          Upper Division LAS</t>
  </si>
  <si>
    <t xml:space="preserve">          Upper Division BUS and EAS</t>
  </si>
  <si>
    <t xml:space="preserve">          Nursing (Beth El)</t>
  </si>
  <si>
    <t xml:space="preserve">          Certificate of Education</t>
  </si>
  <si>
    <t xml:space="preserve">     General (Now Grad I)</t>
  </si>
  <si>
    <t xml:space="preserve">          Education (Now Grad I)</t>
  </si>
  <si>
    <t xml:space="preserve">          Engineering/ Geropsychology (Now Grad III)</t>
  </si>
  <si>
    <t xml:space="preserve">          Business (Now Grad III)</t>
  </si>
  <si>
    <t xml:space="preserve">          Basic Science (Now Grad I)</t>
  </si>
  <si>
    <t xml:space="preserve">          Public Affairs (Now Grad II)</t>
  </si>
  <si>
    <t xml:space="preserve">          Nursing (Beth El) (Now Grad IV)</t>
  </si>
  <si>
    <t>Change</t>
  </si>
  <si>
    <t xml:space="preserve">          Incoming Freshman</t>
  </si>
  <si>
    <t xml:space="preserve">* The Colorado Legislature Changed the Funding Mechanism For Resident Undergraduate Students Providing  A Stipend To Eligible and Authorized Students To Offset Total Tuition.  Total Tuition Calculated By Adding $89 Per Credit Hour for Student's Share of Tuition.    </t>
  </si>
  <si>
    <t>ID Revenue</t>
  </si>
  <si>
    <t>State Grants</t>
  </si>
  <si>
    <t>Library Books</t>
  </si>
  <si>
    <t xml:space="preserve">                            UOP</t>
  </si>
  <si>
    <t xml:space="preserve">                            Modular 997</t>
  </si>
  <si>
    <t xml:space="preserve">                            Heller Garage/Shop</t>
  </si>
  <si>
    <t>Cragmor Hall</t>
  </si>
  <si>
    <t>University Hall</t>
  </si>
  <si>
    <t>Modular 997</t>
  </si>
  <si>
    <t>Energy Performance</t>
  </si>
  <si>
    <t>Other</t>
  </si>
  <si>
    <t>Fixed Assets Addition</t>
  </si>
  <si>
    <t>Dwire Hall Renovation and Technology Upgrade</t>
  </si>
  <si>
    <t>Parking Garage and Public Safety</t>
  </si>
  <si>
    <t>Science and Engineering Building</t>
  </si>
  <si>
    <t>Campus Recreation Center</t>
  </si>
  <si>
    <t>Science and Engineering Building (Pending CCHE Approval)</t>
  </si>
  <si>
    <t>Engineering Building Repair Boilers</t>
  </si>
  <si>
    <t>Repair Campus Infrastructure</t>
  </si>
  <si>
    <t>Repair Structural Damage</t>
  </si>
  <si>
    <t>Fine Arts Complex Utilities Upgrade</t>
  </si>
  <si>
    <t xml:space="preserve">                             Dwire Hall</t>
  </si>
  <si>
    <t xml:space="preserve">                            TRW Annex</t>
  </si>
  <si>
    <t xml:space="preserve">                            TRW Building</t>
  </si>
  <si>
    <t xml:space="preserve">                            Heller Studio</t>
  </si>
  <si>
    <t xml:space="preserve">                            Dwire Storage Building</t>
  </si>
  <si>
    <t xml:space="preserve">                            Physical Plant Storage</t>
  </si>
  <si>
    <t xml:space="preserve">                            Shuck Houses</t>
  </si>
  <si>
    <t xml:space="preserve">                            Temporary Classrooms</t>
  </si>
  <si>
    <t xml:space="preserve">                            Building 4825/Science Bldg Upgrade</t>
  </si>
  <si>
    <t>Fire Alarm System Upgrade</t>
  </si>
  <si>
    <t>Upgrade ADA Accessibility</t>
  </si>
  <si>
    <t>NAME: UNIVERSITY OF COLORADO AT COLORADO SPRINGS</t>
  </si>
  <si>
    <t>Institution No.:  GFC</t>
  </si>
  <si>
    <t xml:space="preserve">Institution No.:  GFB </t>
  </si>
  <si>
    <t>NAME:  University of Colorado -  Boulder</t>
  </si>
  <si>
    <t>Date:  10/01/2007</t>
  </si>
  <si>
    <t>Fmt 1100 Ln 25</t>
  </si>
  <si>
    <t>Fmt 1200 Ln 25</t>
  </si>
  <si>
    <t>Fmt 1300 Ln 25</t>
  </si>
  <si>
    <t>Fmt 1400 Ln 25</t>
  </si>
  <si>
    <t>Fmt 1500 Ln 25</t>
  </si>
  <si>
    <t>Fmt 1600 Ln 25</t>
  </si>
  <si>
    <t>Fmt 1700 Ln 25</t>
  </si>
  <si>
    <t>Student Financial Aid</t>
  </si>
  <si>
    <t>Fmt 1800 Ln 25</t>
  </si>
  <si>
    <t>Fmt 1900 Ln 25</t>
  </si>
  <si>
    <t>Fmt 2000 Ln 20</t>
  </si>
  <si>
    <t>Fmt   600 Ln 25</t>
  </si>
  <si>
    <t>Fmt   700 Ln 25</t>
  </si>
  <si>
    <t>Fmt   600 Ln 2-4</t>
  </si>
  <si>
    <t>Subtotal Undergraduate Resident Tuition</t>
  </si>
  <si>
    <t>Fmt   100 Ln 27</t>
  </si>
  <si>
    <t>Fmt   100 Ln 26</t>
  </si>
  <si>
    <t>Nonresident Tuition</t>
  </si>
  <si>
    <t>Fmt   100 Ln 32</t>
  </si>
  <si>
    <t>Fmt   100 Ln 36</t>
  </si>
  <si>
    <t>Other State Approp Nonexempt Unrestr E&amp;G Revenues</t>
  </si>
  <si>
    <t>Fmt   410 Ln 20</t>
  </si>
  <si>
    <t>Subtotal Appropriated Unrestricted E&amp;G Revenue</t>
  </si>
  <si>
    <t>Non-State Appropriated Exempt Unrestr E&amp;G Revenues</t>
  </si>
  <si>
    <t>Fmt   411 Ln 20</t>
  </si>
  <si>
    <t>Institution No.:  GFB</t>
  </si>
  <si>
    <t>STUDENT, FACULTY, &amp;  STAFF DATA</t>
  </si>
  <si>
    <t xml:space="preserve">  Non-COF Resident Undergraduate FTE</t>
  </si>
  <si>
    <t xml:space="preserve">  Total Resident Undergraduate FTE</t>
  </si>
  <si>
    <t xml:space="preserve">  Total E&amp;G Cost Per FTE Student</t>
  </si>
  <si>
    <t xml:space="preserve">  COF Stipend per Undergraduate Resident FTE  (FY2005-06 and forward)</t>
  </si>
  <si>
    <t>INSTRUCTIONAL FACULTY DATA   (Source Fmt 40 or Fmt 1100)</t>
  </si>
  <si>
    <t>Total Faculty and Staff FTE   (Fmt 20)</t>
  </si>
  <si>
    <t>% Change</t>
  </si>
  <si>
    <t xml:space="preserve">UNDERGRADUATE </t>
  </si>
  <si>
    <t xml:space="preserve">        Business</t>
  </si>
  <si>
    <t xml:space="preserve">        Engineering</t>
  </si>
  <si>
    <t xml:space="preserve">        Journalism, Music</t>
  </si>
  <si>
    <t>UNDERGRADUATE mandatory student fees</t>
  </si>
  <si>
    <t xml:space="preserve">        Business - MBA</t>
  </si>
  <si>
    <t xml:space="preserve">        Law, incoming</t>
  </si>
  <si>
    <t xml:space="preserve">        Law, continuing</t>
  </si>
  <si>
    <t>GRADUATE/PROFESSIONAL mandatory student fees</t>
  </si>
  <si>
    <t>*</t>
  </si>
  <si>
    <t>Effective FY2005-06 the Colorado Legislature changed the funding mechanism for resident undergraduate students, providing a stipend to eligible and authorized students to offset</t>
  </si>
  <si>
    <t xml:space="preserve">total tuition.  Total tuition is calculated by adding $80 per credit hour ($86 in FY2006-07, and $89 in FY2007-08) to the student's share of tuition. </t>
  </si>
  <si>
    <t>UNDERGRADUATE  (incoming)</t>
  </si>
  <si>
    <t xml:space="preserve">        Business, MBA</t>
  </si>
  <si>
    <t xml:space="preserve">        Law</t>
  </si>
  <si>
    <t>FACULTY MATRIX SUMMARY</t>
  </si>
  <si>
    <t>NAME:  University of Colorado - Boulder</t>
  </si>
  <si>
    <t xml:space="preserve">Date:  10/01/2007 </t>
  </si>
  <si>
    <t xml:space="preserve">           Detailed data available upon request.</t>
  </si>
  <si>
    <t>TOTAL TUITION REVENUE &amp; STUDENT FTE</t>
  </si>
  <si>
    <t xml:space="preserve">**Total tuition includes COF stipend </t>
  </si>
  <si>
    <t xml:space="preserve">  Instructional/Course Fees</t>
  </si>
  <si>
    <t xml:space="preserve">  State Grants and Contracts (not FFS)</t>
  </si>
  <si>
    <t xml:space="preserve">  Other Mandatory Fees</t>
  </si>
  <si>
    <t xml:space="preserve">  Rental Income</t>
  </si>
  <si>
    <t xml:space="preserve">  Investment income</t>
  </si>
  <si>
    <t>Rollforward to Future Year</t>
  </si>
  <si>
    <t>TOTAL OTHER STATE APPROPRIATED UNRESTRICTED E&amp;G REVENUES</t>
  </si>
  <si>
    <t>NON-STATE APPROPRIATED EDUCATION &amp; GENERAL REVENUES</t>
  </si>
  <si>
    <t>Rental Income</t>
  </si>
  <si>
    <t>Total Non-State Appropriated Unrestricted Education &amp; General Revenues</t>
  </si>
  <si>
    <t>Rollforward from Prior Year (exempt E&amp;G revenue)</t>
  </si>
  <si>
    <t>TOTAL NON-STATE APPROPRIATED EDUCATION &amp; GENERAL REVENUES</t>
  </si>
  <si>
    <t>Fees for the Construction of Academic Facilities *</t>
  </si>
  <si>
    <t xml:space="preserve">     Amount of Fee per Full-Time Student, per Academic Year</t>
  </si>
  <si>
    <t>TOTAL</t>
  </si>
  <si>
    <t xml:space="preserve"> Date: 10/01/2007</t>
  </si>
  <si>
    <t>Regular Appropriation (Gov Board Allocation)</t>
  </si>
  <si>
    <t>Supplemental and Special Bills (itemize)</t>
  </si>
  <si>
    <t>Other Restrictions of General Fund Revenue</t>
  </si>
  <si>
    <t xml:space="preserve">FEE-FOR-SERVICE CONTRACTS </t>
  </si>
  <si>
    <t>TOTAL FEE-FOR-SERVICE CONTRACTS</t>
  </si>
  <si>
    <t xml:space="preserve">Salaries, Faculty/Exempt </t>
  </si>
  <si>
    <t>Benefits, Faculty/Exempt</t>
  </si>
  <si>
    <t>Compensation, Part-time Faculty/Exempt</t>
  </si>
  <si>
    <t xml:space="preserve">  Subtotal Faculty/Exempt Staff</t>
  </si>
  <si>
    <t>Hourly Compensation *</t>
  </si>
  <si>
    <t xml:space="preserve">Capital  </t>
  </si>
  <si>
    <t xml:space="preserve">                 </t>
  </si>
  <si>
    <t xml:space="preserve">TOTAL UNRESTRICTED EDUCATION &amp; GENERAL - INSTRUCTION </t>
  </si>
  <si>
    <t>* Hourly Compensation FTE shown in Fmts 1100-1700 is for informational purposes only; not included in total employee FTE</t>
  </si>
  <si>
    <t xml:space="preserve">Salaries, Exempt </t>
  </si>
  <si>
    <t xml:space="preserve">                   </t>
  </si>
  <si>
    <t>TOTAL UNRESTRICTED EDUCATION &amp; GENERAL - RESEARCH</t>
  </si>
  <si>
    <t xml:space="preserve">                </t>
  </si>
  <si>
    <t>TOTAL UNRESTRICTED EDUCATION &amp; GENERAL - PUBLIC SERVICE</t>
  </si>
  <si>
    <t>TOTAL UNRESTRICTED EDUCATION &amp; GENERAL - ACADEMIC SUPPORT</t>
  </si>
  <si>
    <t>TOTAL UNRESTRICTED EDUCATION &amp; GENERAL -  STUDENT SERVICES</t>
  </si>
  <si>
    <t xml:space="preserve">UNRESTRICTED EDUCATION &amp; GENERAL - INSTITUTIONAL SUPPORT </t>
  </si>
  <si>
    <t xml:space="preserve">                  </t>
  </si>
  <si>
    <t>TOTAL UNRESTRICTED EDUCATION &amp; GENERAL - INSTITUTIONAL SUPPORT</t>
  </si>
  <si>
    <t>TOTAL UNRESTRICTED EDUCATION &amp; GENERAL - OPERATION &amp; MAINT OF PLANT</t>
  </si>
  <si>
    <t>Gross Sq Ft Added During Year (list)</t>
  </si>
  <si>
    <t xml:space="preserve">  IBG Addition</t>
  </si>
  <si>
    <t xml:space="preserve">  ATLAS</t>
  </si>
  <si>
    <t xml:space="preserve">  Wolf Law</t>
  </si>
  <si>
    <t xml:space="preserve">  Chancellor's Residence</t>
  </si>
  <si>
    <t xml:space="preserve">  Koelbel Hall Addition/Leeds School of Business</t>
  </si>
  <si>
    <t>Gross Sq Ft Eliminated During Year (list)</t>
  </si>
  <si>
    <t xml:space="preserve">  Hazardous Waste Storage</t>
  </si>
  <si>
    <t>Average Gross Sq Ft Maintained</t>
  </si>
  <si>
    <t>UNRESTRICTED EDUCATION &amp; GENERAL - STUDENT FINANCIAL AID</t>
  </si>
  <si>
    <t>Actual *</t>
  </si>
  <si>
    <t xml:space="preserve">TOTAL UNRESTRICTED EDUCATION &amp; GENERAL - STUDENT FINANCIAL AID </t>
  </si>
  <si>
    <t>Amount of Student Financial Aid Offset to Nonexempt Revenues as Scholarship Allowance</t>
  </si>
  <si>
    <t>TOTAL UNRESTRICTED EDUCATION &amp; GENERAL - HOSPITALS</t>
  </si>
  <si>
    <t>TRANSFERS TO/(FROM) CURRENT UNRESTRICTED EDUCATION &amp; GENERAL FUNDS</t>
  </si>
  <si>
    <t>Nonmandatory Transfers:</t>
  </si>
  <si>
    <t xml:space="preserve">   Fixed Asset Additions</t>
  </si>
  <si>
    <t>Subtotal Nonmandatory Transfers:</t>
  </si>
  <si>
    <t>TOTAL TRANSFERS TO/(FROM) CURRENT UNRESTRICTED</t>
  </si>
  <si>
    <t>APPROPRIATED CAPITAL CONSTRUCTION &amp; CONTROLLED MAINTENANCE</t>
  </si>
  <si>
    <t>Appropriations</t>
  </si>
  <si>
    <t xml:space="preserve"> Bill Number</t>
  </si>
  <si>
    <t>Constr Fund</t>
  </si>
  <si>
    <t>SB 05-209</t>
  </si>
  <si>
    <t>HB 06-1385</t>
  </si>
  <si>
    <t>SB 07-181  *</t>
  </si>
  <si>
    <t>HB 05-1385</t>
  </si>
  <si>
    <t>SB 07-239</t>
  </si>
  <si>
    <t>HB 05-1385  **</t>
  </si>
  <si>
    <t>SB 07-239  **</t>
  </si>
  <si>
    <t>TOTAL CAPITAL APPROPRIATIONS</t>
  </si>
  <si>
    <t>* There was a supplemental bill for FY2007 effective January 2008, that increased the appropriation for the Leeds Business School project.</t>
  </si>
  <si>
    <t>** Long Bill footnote states:  "These amounts shall be from exempt institutional sources.  They meet the criteria in Section 24-75-303(3)(a)(II), C.R.S., and are shown here for informational purposes only.</t>
  </si>
  <si>
    <t xml:space="preserve">               Actual Fiscal Years 2005-06, 2006-07</t>
  </si>
  <si>
    <t>UCDHSC - HSC Campuses</t>
  </si>
  <si>
    <t xml:space="preserve">Institution No.:  GFE </t>
  </si>
  <si>
    <t>NAME:  University of Colorado - HSC</t>
  </si>
  <si>
    <t>Date:  10-07</t>
  </si>
  <si>
    <t>Fmt.   600 Ln 25</t>
  </si>
  <si>
    <t xml:space="preserve">FFS Contracts </t>
  </si>
  <si>
    <t>Fmt 700 Ln 1</t>
  </si>
  <si>
    <t xml:space="preserve">Other State Appropriated Nonexempt Unrestricted E&amp;G </t>
  </si>
  <si>
    <t>Non State Exempt Appropriated Unrestricted E &amp; G Fund 311</t>
  </si>
  <si>
    <t>Fmt.   411 Ln 20</t>
  </si>
  <si>
    <t>COF Stipend Per Undergraduate Resident FTE (05-06 and forward)</t>
  </si>
  <si>
    <t>NA</t>
  </si>
  <si>
    <t>1/ 2004-05 student FTE adjusted to reflect FTE based on credit hours vs. student headcount</t>
  </si>
  <si>
    <t>RESIDENT FULL-TIME (15 HOUR) TUITION RATES PER ACADEMIC YEAR</t>
  </si>
  <si>
    <t>%</t>
  </si>
  <si>
    <t xml:space="preserve">     Dental Hygiene</t>
  </si>
  <si>
    <t xml:space="preserve">     Nursing</t>
  </si>
  <si>
    <t xml:space="preserve">     Basic/Clinical Science</t>
  </si>
  <si>
    <t xml:space="preserve">     Physical Therapy</t>
  </si>
  <si>
    <t xml:space="preserve">     Pharmacy</t>
  </si>
  <si>
    <t xml:space="preserve">     Medicine- MD</t>
  </si>
  <si>
    <t xml:space="preserve">     Medicine- Doctor of Physical Therapy</t>
  </si>
  <si>
    <t xml:space="preserve">     Dentistry</t>
  </si>
  <si>
    <t>Note: HSC tuition as reported above represents a full calendar year (3 semesters)</t>
  </si>
  <si>
    <t xml:space="preserve">     Nursing- Tuition</t>
  </si>
  <si>
    <t>Note: HSC tuition as reported above represents a full calendar year (3 semesters, as applicable)</t>
  </si>
  <si>
    <t>NONEXEMPT TUITION REVENUE and STUDENT FTE</t>
  </si>
  <si>
    <t>Scholarship Allowance related to Nonexempt Current Unrestricted Fund 310</t>
  </si>
  <si>
    <t xml:space="preserve">  Sales &amp; Services of Hospitals &amp; Clinics</t>
  </si>
  <si>
    <t xml:space="preserve">  Investments</t>
  </si>
  <si>
    <t>1/ Accountable Student Fee included in Instructional Fees amount</t>
  </si>
  <si>
    <t>Miscellaneouse Income</t>
  </si>
  <si>
    <t xml:space="preserve">           HB 06-1385</t>
  </si>
  <si>
    <t xml:space="preserve">           SB 07-239</t>
  </si>
  <si>
    <t xml:space="preserve">           SB07-097</t>
  </si>
  <si>
    <t>Other Restrictions of General Fund</t>
  </si>
  <si>
    <t>STATE Grants and Contracts (Institutional Level Only)</t>
  </si>
  <si>
    <t>Date: 10/1/2005</t>
  </si>
  <si>
    <t>Salaries, Full-time Exempt</t>
  </si>
  <si>
    <t>Benefits, Full-time Exempt</t>
  </si>
  <si>
    <t>Compensation, Part-time Exempt</t>
  </si>
  <si>
    <t xml:space="preserve">  Subtotal Exempt Staff (without Worker's Compensation)</t>
  </si>
  <si>
    <t>&amp; MAINTENANCE OF PLANT</t>
  </si>
  <si>
    <t>Environ Health &amp; Safety II</t>
  </si>
  <si>
    <t>Campus Services Building</t>
  </si>
  <si>
    <t>Education Building IB</t>
  </si>
  <si>
    <t>Education Building II North &amp; South</t>
  </si>
  <si>
    <t>Library</t>
  </si>
  <si>
    <t>Academic Offices West</t>
  </si>
  <si>
    <t>Decommissioning of School of Dentistry</t>
  </si>
  <si>
    <t>Carpenter &amp; Paint Shops 9th Ave</t>
  </si>
  <si>
    <t>Warehouse 9th Ave</t>
  </si>
  <si>
    <t>Laundry Building 9th Ave</t>
  </si>
  <si>
    <t>Denison Auditorium &amp; Library</t>
  </si>
  <si>
    <t>Childhood Diagnostic Center</t>
  </si>
  <si>
    <t>Barbara Davis Center 9th Ave</t>
  </si>
  <si>
    <t>Office Annex</t>
  </si>
  <si>
    <t>Colorado Psychiatric Hospital</t>
  </si>
  <si>
    <t>JFK Center</t>
  </si>
  <si>
    <t>&amp; FELLOWSHIPS</t>
  </si>
  <si>
    <t>Amount of Scholarships &amp; Fellowships offset to Nonexempt Revenues as Scholarship Allowance</t>
  </si>
  <si>
    <t>Fixed Asset Allowance</t>
  </si>
  <si>
    <t>APPROPRIATED</t>
  </si>
  <si>
    <t xml:space="preserve">CAPITAL CONSTRUCTION  and CONTROLLED MAINTENANCE </t>
  </si>
  <si>
    <t>P9819, Fitzsimons, Infrastructure Development</t>
  </si>
  <si>
    <t>HB 00-1451</t>
  </si>
  <si>
    <t>Early Development Program</t>
  </si>
  <si>
    <t>SB 01-212</t>
  </si>
  <si>
    <t>SB 01S2-023</t>
  </si>
  <si>
    <t>HB 02-1438</t>
  </si>
  <si>
    <t xml:space="preserve">P0212, Fitzsimons, Infrastructure Development, </t>
  </si>
  <si>
    <t>Midterm Development Program</t>
  </si>
  <si>
    <t>HB 02-1420</t>
  </si>
  <si>
    <t>Fitzsimons Auditorium Remodel</t>
  </si>
  <si>
    <t>P9914, Fitzsimons, Education Facility Center for</t>
  </si>
  <si>
    <t>Studies in Clinical Performance</t>
  </si>
  <si>
    <t>Phase 2 of 3</t>
  </si>
  <si>
    <t xml:space="preserve">P0213, Environmental Health and Safety Waste </t>
  </si>
  <si>
    <t>Processing Facility</t>
  </si>
  <si>
    <t>Fitzsimons Trust Fund</t>
  </si>
  <si>
    <t>HB 02-1391</t>
  </si>
  <si>
    <t>Barbara Davis Center for Childhood Diabetes</t>
  </si>
  <si>
    <t>HB 01-212</t>
  </si>
  <si>
    <t>Parinatal Research Center Expansion</t>
  </si>
  <si>
    <t>M050 Replace Underground Storage Tanks  *</t>
  </si>
  <si>
    <t>M051 SOM Exhaust System Replacement  *</t>
  </si>
  <si>
    <t>M727 CPH Infrastructure  *</t>
  </si>
  <si>
    <t>M728 PP Heating/Electrical System</t>
  </si>
  <si>
    <t>M729 Campus Roofs  &amp; Windows</t>
  </si>
  <si>
    <t>M0128 CPH Window and Door  *</t>
  </si>
  <si>
    <t xml:space="preserve">Footnote: * Controlled Maintenance funding is frozen on select projects.     </t>
  </si>
  <si>
    <t>UCDHSC - Downtown Denver Campus</t>
  </si>
  <si>
    <t>Institution No.:  GFD</t>
  </si>
  <si>
    <t>NAME: University of Colorado - Denver</t>
  </si>
  <si>
    <t>Lower Level (Except CLAS)</t>
  </si>
  <si>
    <t>Lower CLAS</t>
  </si>
  <si>
    <t>Upper Level  (Except CLAS)</t>
  </si>
  <si>
    <t>Upper CLAS</t>
  </si>
  <si>
    <t>Liberal Arts and Sciences</t>
  </si>
  <si>
    <t>Arch &amp; Planning</t>
  </si>
  <si>
    <t>Non-Degree</t>
  </si>
  <si>
    <t>Education</t>
  </si>
  <si>
    <t>Business</t>
  </si>
  <si>
    <t>GSPA</t>
  </si>
  <si>
    <t>Arts &amp; Media</t>
  </si>
  <si>
    <t>Engineering</t>
  </si>
  <si>
    <t xml:space="preserve">* The Colorado Legislature Changed the Funding Mechanism For Resident Undergraduate Students Providing  A Stipend To Eligible and Authorized Students To Offset Total Tuition.  </t>
  </si>
  <si>
    <t>2005-2006</t>
  </si>
  <si>
    <t>2006-2007</t>
  </si>
  <si>
    <t>Lower Division (&amp; CLAS upper)</t>
  </si>
  <si>
    <t>Upper Division</t>
  </si>
  <si>
    <t>Arch and Planning</t>
  </si>
  <si>
    <t xml:space="preserve"> State Grants and Contracts (not FFS)</t>
  </si>
  <si>
    <t xml:space="preserve">  Subtotal Exempt Staff </t>
  </si>
  <si>
    <t>Other Current Expense (DO NOT INCLUDE PROPERTY, LIABILITY, AND WORKER'S COMPENSATION</t>
  </si>
  <si>
    <t>Capital</t>
  </si>
  <si>
    <t>*less 60k id revenues</t>
  </si>
  <si>
    <t>MAINTENANCE OF PLANT</t>
  </si>
  <si>
    <t>Terra Centre</t>
  </si>
  <si>
    <t>1445 Market Street</t>
  </si>
  <si>
    <t>1517 Blake</t>
  </si>
  <si>
    <t>1/ In 2005-06, the Lawrence Street Center building was moved from auxiliary to general fund</t>
  </si>
  <si>
    <t>Fixed Asset Additions* (See format 1400)</t>
  </si>
  <si>
    <t xml:space="preserve">NAME: UNIVERSITY OF COLORADO </t>
  </si>
  <si>
    <t>UNIVERSITY OF COLORADO at BOULDER</t>
  </si>
  <si>
    <t>SOURCE OF FUNDS (Fmt Number)</t>
  </si>
  <si>
    <t xml:space="preserve">  COF Resident Undergraduate FTE (assumes 100% participation)</t>
  </si>
  <si>
    <t>RESIDENT FULL-TIME (15 HOURS) STUDENT SHARE TUITION RATES PER ACADEMIC YEAR *</t>
  </si>
  <si>
    <t>NON-RESIDENT FULL-TIME (15 HOURS) TUITION RATES PER ACADEMIC YEAR</t>
  </si>
  <si>
    <t>TOTAL NONEXEMPT TUITION REVENUE  (E&amp;G COFRS Program Code 11XX)</t>
  </si>
  <si>
    <t>Scholarship Allowance related to Nonexempt Current (COFRS pgm code 11XX)</t>
  </si>
  <si>
    <t>Other State Appropriated Unrestricted Education &amp; General Revenues (itemize)</t>
  </si>
  <si>
    <t>Non-State Appropriated Unrestricted Education &amp; General Revenues (itemize)</t>
  </si>
  <si>
    <t xml:space="preserve">Facilities &amp; Administrative Reimbursements  (formerly Indirect Cost Recoveries) </t>
  </si>
  <si>
    <t>* The student capital fee is budgeted and recorded in exempt auxiliary fund.</t>
  </si>
  <si>
    <t xml:space="preserve">    SB 05-209  (COF portion)</t>
  </si>
  <si>
    <t xml:space="preserve">    HB 06-1385 (COF portion)</t>
  </si>
  <si>
    <t xml:space="preserve">    SB 07-239 (COF portion)</t>
  </si>
  <si>
    <t>Contracts  (Fee-For-Service portion)</t>
  </si>
  <si>
    <t>Library Materials (informational only, not included in Fmt 1400 total; also see Fmt 2000)</t>
  </si>
  <si>
    <t>Utilities (FY08 includes $327,531 of O&amp;M for Koelbel addition/Leeds Business)</t>
  </si>
  <si>
    <t xml:space="preserve">        Library Materials (informational item only, included in Fixed Assets total above)</t>
  </si>
  <si>
    <t>State Project Name,  Project Number, (UCB acct number)</t>
  </si>
  <si>
    <t>Leeds Business Renov/Addtn -PO517  (1772881)</t>
  </si>
  <si>
    <t>Info Tech Infrastructure -PO518  (1772882)</t>
  </si>
  <si>
    <t>Visual Arts Complex -PO627  (1772884)</t>
  </si>
  <si>
    <t>Outdoor Recreation Facilities (1771564)</t>
  </si>
  <si>
    <t>Norlin Library Renovation -PO707 (1772897)</t>
  </si>
  <si>
    <t>Arnett Hall Renovation (1770529)</t>
  </si>
  <si>
    <t>Athletic Practice Bubble (1771791)</t>
  </si>
  <si>
    <t>Bear Creek Apt Acquisition (12077608)</t>
  </si>
  <si>
    <t>Campus Steam Line Upgrades  (1772879)</t>
  </si>
  <si>
    <t>Steam Tunnel Structural Repairs (1772876)</t>
  </si>
  <si>
    <t>Upgrade Fire Sprinklers/Alarms, Various Bldgs  (1772880)</t>
  </si>
  <si>
    <t>Storm/San Sewer Cross Conn -M06007  (1772896)</t>
  </si>
  <si>
    <t>Theatre Bldg Roof Struct Rprs -M06008  (1772891)</t>
  </si>
  <si>
    <t>Cmps West Half, Storm Drain Upgr -M06009  (1772892)</t>
  </si>
  <si>
    <t>Code/Life Safety Upgr, Var Bldgs - M06010  (1772893)</t>
  </si>
  <si>
    <t>Steam Tunnel Struct Rprs -M05011  (1772894)</t>
  </si>
  <si>
    <t>Rpr/Replace Bldg Electr Svcs -M06062 (1772889)</t>
  </si>
  <si>
    <t>Rpr/Replace Bldg Electr Svcs -M06062 (1772903)</t>
  </si>
  <si>
    <t>Upgrade Fire Sprinklers/Alarms -M80053 (1772888)</t>
  </si>
  <si>
    <t>Upgrade Fire Sprinklers/Alarms -M80053 (1772904)</t>
  </si>
  <si>
    <t>Chemical Engr Bldg HVAC -M07010 (1772899)</t>
  </si>
  <si>
    <t>Fire Safety Upgrade -M07011 (1772905)</t>
  </si>
  <si>
    <t>R&amp;R Compressed Air -M07012 (1772898)</t>
  </si>
  <si>
    <t>UPG Transformer -M07013 (1772901)</t>
  </si>
  <si>
    <t>Upgrade Fire Alarm Systems -M07014 (1772902)</t>
  </si>
  <si>
    <t>NAME: UNIVERSITY OF COLORADO - Boulder</t>
  </si>
  <si>
    <r>
      <t xml:space="preserve">TOTAL </t>
    </r>
    <r>
      <rPr>
        <b/>
        <sz val="9"/>
        <rFont val="Times New Roman"/>
        <family val="1"/>
      </rPr>
      <t>UNRESTRICTED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EDUCATION &amp; GENERAL</t>
    </r>
    <r>
      <rPr>
        <sz val="9"/>
        <rFont val="Times New Roman"/>
        <family val="1"/>
      </rPr>
      <t xml:space="preserve"> OPERATION &amp; </t>
    </r>
  </si>
  <si>
    <r>
      <t xml:space="preserve">TOTAL UNRESTRICTED </t>
    </r>
    <r>
      <rPr>
        <b/>
        <sz val="9"/>
        <rFont val="Times New Roman"/>
        <family val="1"/>
      </rPr>
      <t xml:space="preserve">EDUCATION &amp; GENERAL </t>
    </r>
    <r>
      <rPr>
        <sz val="9"/>
        <rFont val="Times New Roman"/>
        <family val="1"/>
      </rPr>
      <t>EXPENDITURES</t>
    </r>
  </si>
  <si>
    <r>
      <t xml:space="preserve">TOTAL </t>
    </r>
    <r>
      <rPr>
        <b/>
        <sz val="9"/>
        <rFont val="Times New Roman"/>
        <family val="1"/>
      </rPr>
      <t>UNRESTRICTED EDUCATION &amp; GENERAL</t>
    </r>
    <r>
      <rPr>
        <sz val="9"/>
        <rFont val="Times New Roman"/>
        <family val="1"/>
      </rPr>
      <t xml:space="preserve"> SCHOLARSHIPS </t>
    </r>
  </si>
  <si>
    <t>Institution No.:   GFE</t>
  </si>
  <si>
    <t>STUDENT/FACULTY MATRIX   1/  2/  3/</t>
  </si>
  <si>
    <t>Date:  10-06</t>
  </si>
  <si>
    <t>2004-05</t>
  </si>
  <si>
    <t>Professional</t>
  </si>
  <si>
    <t>1/  Faculty FTE by level of  student is unavailable.</t>
  </si>
  <si>
    <t>2/  Faculty FTE numbers may be affected from year to year due to funding source shifts.</t>
  </si>
  <si>
    <t>3/ 2005-06 FTE increase results from conversion from quarters to semesters</t>
  </si>
  <si>
    <t>Institution No.:   GFD</t>
  </si>
  <si>
    <t>NAME:   University of Colorado - Denver</t>
  </si>
  <si>
    <t>Institution No.:  GFA</t>
  </si>
  <si>
    <t>rounding</t>
  </si>
  <si>
    <t xml:space="preserve">University of Colorado 
</t>
  </si>
  <si>
    <t>Board of Regents &amp; System Administration</t>
  </si>
  <si>
    <t>NAME:</t>
  </si>
  <si>
    <t>University of Colorado - System Administration</t>
  </si>
  <si>
    <r>
      <t xml:space="preserve">TOTAL </t>
    </r>
    <r>
      <rPr>
        <b/>
        <sz val="10"/>
        <rFont val="Times New Roman"/>
        <family val="1"/>
      </rPr>
      <t xml:space="preserve">UNRESTRICTED </t>
    </r>
    <r>
      <rPr>
        <sz val="10"/>
        <rFont val="Times New Roman"/>
        <family val="1"/>
      </rPr>
      <t>EDUCATION &amp; GENERAL EXPENDITURES</t>
    </r>
  </si>
  <si>
    <r>
      <t xml:space="preserve">TOTAL </t>
    </r>
    <r>
      <rPr>
        <b/>
        <sz val="10"/>
        <rFont val="Times New Roman"/>
        <family val="1"/>
      </rPr>
      <t>UNRESTRICTED</t>
    </r>
    <r>
      <rPr>
        <sz val="10"/>
        <rFont val="Times New Roman"/>
        <family val="1"/>
      </rPr>
      <t xml:space="preserve"> EDUCATION &amp; GENERAL REVENUE</t>
    </r>
  </si>
  <si>
    <r>
      <t xml:space="preserve">TOTAL </t>
    </r>
    <r>
      <rPr>
        <b/>
        <sz val="10"/>
        <rFont val="Times New Roman"/>
        <family val="1"/>
      </rPr>
      <t>UNRESTRICTED EDUCATION &amp; GENERAL</t>
    </r>
    <r>
      <rPr>
        <sz val="10"/>
        <rFont val="Times New Roman"/>
        <family val="1"/>
      </rPr>
      <t xml:space="preserve"> INSTITUTIONAL SUPPORT</t>
    </r>
  </si>
  <si>
    <r>
      <t xml:space="preserve">TOTAL </t>
    </r>
    <r>
      <rPr>
        <b/>
        <sz val="10"/>
        <rFont val="Times New Roman"/>
        <family val="1"/>
      </rPr>
      <t>UNRESTRICTED EDUCATION &amp; GENERAL</t>
    </r>
    <r>
      <rPr>
        <sz val="10"/>
        <rFont val="Times New Roman"/>
        <family val="1"/>
      </rPr>
      <t xml:space="preserve"> SCHOLARSHIPS &amp; FELLOWSHIPS</t>
    </r>
  </si>
  <si>
    <r>
      <t xml:space="preserve">TOTAL TRANSFERS </t>
    </r>
    <r>
      <rPr>
        <b/>
        <sz val="10"/>
        <rFont val="Times New Roman"/>
        <family val="1"/>
      </rPr>
      <t>(TO) FROM FUNDS CURRENT UNRESTRICTED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</si>
</sst>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_)"/>
    <numFmt numFmtId="167" formatCode="0.0%"/>
    <numFmt numFmtId="168" formatCode="0.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"/>
    <numFmt numFmtId="174" formatCode="_(* #,##0.0_);_(* \(#,##0.0\);_(* &quot;-&quot;??_);_(@_)"/>
    <numFmt numFmtId="175" formatCode="_(* #,##0_);_(* \(#,##0\);_(* &quot;-&quot;??_);_(@_)"/>
    <numFmt numFmtId="176" formatCode="_(* #,##0.0_);_(* \(#,##0.0\);_(* &quot;-&quot;?_);_(@_)"/>
    <numFmt numFmtId="177" formatCode="_(* #,##0.000_);_(* \(#,##0.000\);_(* &quot;-&quot;??_);_(@_)"/>
    <numFmt numFmtId="178" formatCode="_(* #,##0.0_);_(* \(#,##0.0\);_(* &quot;-&quot;_);_(@_)"/>
    <numFmt numFmtId="179" formatCode="_(* #,##0.00_);_(* \(#,##0.00\);_(* &quot;-&quot;_);_(@_)"/>
    <numFmt numFmtId="180" formatCode="#,##0.0000_);\(#,##0.0000\)"/>
    <numFmt numFmtId="181" formatCode="&quot;$&quot;#,##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[$€-2]\ #,##0.00_);[Red]\([$€-2]\ #,##0.00\)"/>
  </numFmts>
  <fonts count="74">
    <font>
      <sz val="10"/>
      <name val="Courier"/>
      <family val="0"/>
    </font>
    <font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36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i/>
      <sz val="36"/>
      <name val="Times New Roman"/>
      <family val="1"/>
    </font>
    <font>
      <b/>
      <sz val="22"/>
      <name val="Times New Roman"/>
      <family val="1"/>
    </font>
    <font>
      <b/>
      <sz val="8"/>
      <name val="Times New Roman"/>
      <family val="1"/>
    </font>
    <font>
      <strike/>
      <sz val="9"/>
      <name val="Times New Roman"/>
      <family val="1"/>
    </font>
    <font>
      <b/>
      <strike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u val="single"/>
      <sz val="9"/>
      <name val="Times New Roman"/>
      <family val="1"/>
    </font>
    <font>
      <sz val="7"/>
      <name val="Arial"/>
      <family val="2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color indexed="8"/>
      <name val="Arial"/>
      <family val="0"/>
    </font>
    <font>
      <sz val="8"/>
      <name val="Courier"/>
      <family val="0"/>
    </font>
    <font>
      <sz val="10"/>
      <name val="Geneva"/>
      <family val="0"/>
    </font>
    <font>
      <sz val="9"/>
      <color indexed="18"/>
      <name val="Times New Roman"/>
      <family val="1"/>
    </font>
    <font>
      <sz val="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u val="single"/>
      <sz val="10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39" fontId="0" fillId="0" borderId="0">
      <alignment/>
      <protection/>
    </xf>
    <xf numFmtId="39" fontId="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169" fontId="3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169" fontId="3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fill"/>
      <protection/>
    </xf>
    <xf numFmtId="3" fontId="3" fillId="33" borderId="0" xfId="0" applyNumberFormat="1" applyFont="1" applyFill="1" applyAlignment="1">
      <alignment/>
    </xf>
    <xf numFmtId="39" fontId="3" fillId="33" borderId="0" xfId="0" applyNumberFormat="1" applyFont="1" applyFill="1" applyAlignment="1" applyProtection="1">
      <alignment horizontal="fill"/>
      <protection/>
    </xf>
    <xf numFmtId="3" fontId="3" fillId="33" borderId="0" xfId="0" applyNumberFormat="1" applyFont="1" applyFill="1" applyAlignment="1" applyProtection="1">
      <alignment horizontal="fill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fill"/>
      <protection/>
    </xf>
    <xf numFmtId="169" fontId="3" fillId="0" borderId="0" xfId="0" applyNumberFormat="1" applyFont="1" applyFill="1" applyAlignment="1" applyProtection="1">
      <alignment horizontal="fill"/>
      <protection/>
    </xf>
    <xf numFmtId="3" fontId="3" fillId="0" borderId="0" xfId="0" applyNumberFormat="1" applyFont="1" applyFill="1" applyAlignment="1">
      <alignment/>
    </xf>
    <xf numFmtId="39" fontId="3" fillId="0" borderId="0" xfId="0" applyNumberFormat="1" applyFont="1" applyFill="1" applyAlignment="1" applyProtection="1">
      <alignment horizontal="fill"/>
      <protection/>
    </xf>
    <xf numFmtId="3" fontId="3" fillId="0" borderId="0" xfId="0" applyNumberFormat="1" applyFont="1" applyFill="1" applyAlignment="1" applyProtection="1">
      <alignment horizontal="fill"/>
      <protection/>
    </xf>
    <xf numFmtId="164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169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 horizontal="fill"/>
      <protection/>
    </xf>
    <xf numFmtId="3" fontId="3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175" fontId="3" fillId="0" borderId="0" xfId="42" applyNumberFormat="1" applyFont="1" applyFill="1" applyAlignment="1" applyProtection="1">
      <alignment horizontal="center"/>
      <protection locked="0"/>
    </xf>
    <xf numFmtId="175" fontId="3" fillId="0" borderId="0" xfId="42" applyNumberFormat="1" applyFont="1" applyFill="1" applyAlignment="1" applyProtection="1">
      <alignment/>
      <protection locked="0"/>
    </xf>
    <xf numFmtId="1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175" fontId="3" fillId="0" borderId="0" xfId="42" applyNumberFormat="1" applyFont="1" applyFill="1" applyAlignment="1" applyProtection="1">
      <alignment horizontal="right"/>
      <protection locked="0"/>
    </xf>
    <xf numFmtId="175" fontId="3" fillId="0" borderId="0" xfId="42" applyNumberFormat="1" applyFont="1" applyFill="1" applyAlignment="1">
      <alignment horizontal="right"/>
    </xf>
    <xf numFmtId="175" fontId="3" fillId="0" borderId="0" xfId="42" applyNumberFormat="1" applyFont="1" applyFill="1" applyAlignment="1" applyProtection="1">
      <alignment horizontal="right"/>
      <protection/>
    </xf>
    <xf numFmtId="0" fontId="1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 applyProtection="1">
      <alignment/>
      <protection/>
    </xf>
    <xf numFmtId="169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2" fontId="3" fillId="0" borderId="0" xfId="0" applyNumberFormat="1" applyFont="1" applyFill="1" applyAlignment="1" applyProtection="1">
      <alignment horizontal="center"/>
      <protection locked="0"/>
    </xf>
    <xf numFmtId="2" fontId="3" fillId="0" borderId="0" xfId="0" applyNumberFormat="1" applyFont="1" applyFill="1" applyAlignment="1">
      <alignment horizontal="center"/>
    </xf>
    <xf numFmtId="175" fontId="3" fillId="0" borderId="0" xfId="42" applyNumberFormat="1" applyFont="1" applyFill="1" applyAlignment="1">
      <alignment horizontal="center"/>
    </xf>
    <xf numFmtId="174" fontId="3" fillId="0" borderId="0" xfId="42" applyNumberFormat="1" applyFont="1" applyFill="1" applyAlignment="1" applyProtection="1">
      <alignment horizontal="center"/>
      <protection locked="0"/>
    </xf>
    <xf numFmtId="174" fontId="3" fillId="0" borderId="0" xfId="42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 horizontal="right"/>
    </xf>
    <xf numFmtId="169" fontId="3" fillId="0" borderId="0" xfId="0" applyNumberFormat="1" applyFont="1" applyFill="1" applyAlignment="1">
      <alignment/>
    </xf>
    <xf numFmtId="175" fontId="3" fillId="0" borderId="0" xfId="42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 locked="0"/>
    </xf>
    <xf numFmtId="165" fontId="3" fillId="0" borderId="0" xfId="0" applyNumberFormat="1" applyFont="1" applyFill="1" applyAlignment="1" applyProtection="1" quotePrefix="1">
      <alignment horizontal="fill"/>
      <protection/>
    </xf>
    <xf numFmtId="43" fontId="3" fillId="0" borderId="0" xfId="42" applyNumberFormat="1" applyFont="1" applyFill="1" applyAlignment="1" applyProtection="1">
      <alignment horizontal="right"/>
      <protection locked="0"/>
    </xf>
    <xf numFmtId="43" fontId="3" fillId="0" borderId="0" xfId="42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2" fontId="3" fillId="0" borderId="0" xfId="42" applyNumberFormat="1" applyFont="1" applyFill="1" applyAlignment="1">
      <alignment horizontal="right"/>
    </xf>
    <xf numFmtId="2" fontId="3" fillId="0" borderId="0" xfId="0" applyNumberFormat="1" applyFont="1" applyFill="1" applyAlignment="1" applyProtection="1">
      <alignment horizontal="fill"/>
      <protection/>
    </xf>
    <xf numFmtId="43" fontId="3" fillId="0" borderId="0" xfId="42" applyNumberFormat="1" applyFont="1" applyFill="1" applyAlignment="1" applyProtection="1">
      <alignment horizontal="center"/>
      <protection locked="0"/>
    </xf>
    <xf numFmtId="43" fontId="3" fillId="0" borderId="0" xfId="42" applyNumberFormat="1" applyFont="1" applyFill="1" applyAlignment="1" applyProtection="1">
      <alignment/>
      <protection locked="0"/>
    </xf>
    <xf numFmtId="43" fontId="3" fillId="0" borderId="0" xfId="42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4" fontId="3" fillId="0" borderId="0" xfId="42" applyNumberFormat="1" applyFont="1" applyFill="1" applyAlignment="1">
      <alignment horizontal="right"/>
    </xf>
    <xf numFmtId="43" fontId="3" fillId="0" borderId="0" xfId="42" applyNumberFormat="1" applyFont="1" applyFill="1" applyAlignment="1" applyProtection="1">
      <alignment horizontal="right"/>
      <protection/>
    </xf>
    <xf numFmtId="2" fontId="3" fillId="0" borderId="0" xfId="0" applyNumberFormat="1" applyFont="1" applyFill="1" applyAlignment="1" applyProtection="1">
      <alignment horizontal="center"/>
      <protection/>
    </xf>
    <xf numFmtId="2" fontId="3" fillId="0" borderId="0" xfId="0" applyNumberFormat="1" applyFont="1" applyFill="1" applyAlignment="1" applyProtection="1">
      <alignment horizontal="right"/>
      <protection/>
    </xf>
    <xf numFmtId="3" fontId="4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3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/>
      <protection locked="0"/>
    </xf>
    <xf numFmtId="39" fontId="3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Fill="1" applyAlignment="1" applyProtection="1">
      <alignment horizontal="left"/>
      <protection locked="0"/>
    </xf>
    <xf numFmtId="16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right"/>
      <protection/>
    </xf>
    <xf numFmtId="166" fontId="3" fillId="0" borderId="0" xfId="0" applyNumberFormat="1" applyFont="1" applyFill="1" applyAlignment="1" applyProtection="1">
      <alignment/>
      <protection/>
    </xf>
    <xf numFmtId="166" fontId="3" fillId="0" borderId="0" xfId="0" applyNumberFormat="1" applyFont="1" applyFill="1" applyAlignment="1" applyProtection="1">
      <alignment horizontal="center"/>
      <protection/>
    </xf>
    <xf numFmtId="179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 applyProtection="1">
      <alignment horizontal="fill"/>
      <protection/>
    </xf>
    <xf numFmtId="37" fontId="4" fillId="0" borderId="0" xfId="0" applyNumberFormat="1" applyFont="1" applyFill="1" applyAlignment="1" applyProtection="1">
      <alignment horizontal="center"/>
      <protection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6" fontId="14" fillId="0" borderId="0" xfId="0" applyNumberFormat="1" applyFont="1" applyFill="1" applyAlignment="1">
      <alignment/>
    </xf>
    <xf numFmtId="37" fontId="3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43" fontId="15" fillId="0" borderId="0" xfId="42" applyNumberFormat="1" applyFont="1" applyFill="1" applyAlignment="1">
      <alignment horizontal="right"/>
    </xf>
    <xf numFmtId="165" fontId="3" fillId="0" borderId="0" xfId="0" applyNumberFormat="1" applyFont="1" applyFill="1" applyAlignment="1" applyProtection="1">
      <alignment/>
      <protection/>
    </xf>
    <xf numFmtId="174" fontId="3" fillId="0" borderId="0" xfId="42" applyNumberFormat="1" applyFont="1" applyFill="1" applyAlignment="1" applyProtection="1">
      <alignment/>
      <protection/>
    </xf>
    <xf numFmtId="9" fontId="3" fillId="0" borderId="0" xfId="66" applyFont="1" applyFill="1" applyAlignment="1" applyProtection="1">
      <alignment/>
      <protection/>
    </xf>
    <xf numFmtId="9" fontId="3" fillId="0" borderId="0" xfId="66" applyFont="1" applyFill="1" applyAlignment="1" applyProtection="1">
      <alignment/>
      <protection locked="0"/>
    </xf>
    <xf numFmtId="174" fontId="3" fillId="0" borderId="0" xfId="42" applyNumberFormat="1" applyFont="1" applyFill="1" applyAlignment="1">
      <alignment/>
    </xf>
    <xf numFmtId="0" fontId="17" fillId="0" borderId="0" xfId="0" applyFont="1" applyFill="1" applyAlignment="1">
      <alignment/>
    </xf>
    <xf numFmtId="169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7" fillId="0" borderId="0" xfId="0" applyFont="1" applyFill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 quotePrefix="1">
      <alignment horizontal="left"/>
      <protection/>
    </xf>
    <xf numFmtId="37" fontId="4" fillId="0" borderId="0" xfId="0" applyNumberFormat="1" applyFont="1" applyFill="1" applyAlignment="1" applyProtection="1" quotePrefix="1">
      <alignment horizontal="left"/>
      <protection locked="0"/>
    </xf>
    <xf numFmtId="2" fontId="3" fillId="0" borderId="0" xfId="0" applyNumberFormat="1" applyFont="1" applyFill="1" applyAlignment="1">
      <alignment/>
    </xf>
    <xf numFmtId="169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 applyProtection="1">
      <alignment/>
      <protection/>
    </xf>
    <xf numFmtId="43" fontId="3" fillId="0" borderId="0" xfId="0" applyNumberFormat="1" applyFont="1" applyFill="1" applyAlignment="1" applyProtection="1">
      <alignment horizontal="fill"/>
      <protection/>
    </xf>
    <xf numFmtId="3" fontId="4" fillId="0" borderId="0" xfId="0" applyNumberFormat="1" applyFont="1" applyFill="1" applyAlignment="1" applyProtection="1">
      <alignment horizontal="left"/>
      <protection/>
    </xf>
    <xf numFmtId="0" fontId="11" fillId="0" borderId="0" xfId="0" applyFont="1" applyFill="1" applyAlignment="1">
      <alignment/>
    </xf>
    <xf numFmtId="1" fontId="3" fillId="0" borderId="0" xfId="0" applyNumberFormat="1" applyFont="1" applyFill="1" applyAlignment="1" applyProtection="1">
      <alignment horizontal="right"/>
      <protection/>
    </xf>
    <xf numFmtId="1" fontId="3" fillId="0" borderId="0" xfId="0" applyNumberFormat="1" applyFont="1" applyFill="1" applyAlignment="1">
      <alignment horizontal="right"/>
    </xf>
    <xf numFmtId="175" fontId="3" fillId="0" borderId="0" xfId="42" applyNumberFormat="1" applyFont="1" applyFill="1" applyAlignment="1">
      <alignment/>
    </xf>
    <xf numFmtId="169" fontId="11" fillId="0" borderId="0" xfId="0" applyNumberFormat="1" applyFont="1" applyFill="1" applyAlignment="1" applyProtection="1">
      <alignment horizontal="left"/>
      <protection/>
    </xf>
    <xf numFmtId="43" fontId="3" fillId="0" borderId="0" xfId="42" applyNumberFormat="1" applyFont="1" applyFill="1" applyAlignment="1" applyProtection="1">
      <alignment horizontal="center"/>
      <protection/>
    </xf>
    <xf numFmtId="174" fontId="3" fillId="0" borderId="0" xfId="42" applyNumberFormat="1" applyFont="1" applyFill="1" applyAlignment="1">
      <alignment horizontal="center"/>
    </xf>
    <xf numFmtId="0" fontId="3" fillId="0" borderId="0" xfId="0" applyFont="1" applyFill="1" applyAlignment="1" quotePrefix="1">
      <alignment/>
    </xf>
    <xf numFmtId="177" fontId="3" fillId="0" borderId="0" xfId="42" applyNumberFormat="1" applyFont="1" applyFill="1" applyAlignment="1" applyProtection="1">
      <alignment horizontal="right"/>
      <protection locked="0"/>
    </xf>
    <xf numFmtId="177" fontId="3" fillId="0" borderId="0" xfId="42" applyNumberFormat="1" applyFont="1" applyFill="1" applyAlignment="1">
      <alignment horizontal="right"/>
    </xf>
    <xf numFmtId="4" fontId="3" fillId="0" borderId="0" xfId="42" applyNumberFormat="1" applyFont="1" applyFill="1" applyAlignment="1" applyProtection="1">
      <alignment horizontal="center"/>
      <protection locked="0"/>
    </xf>
    <xf numFmtId="4" fontId="3" fillId="0" borderId="0" xfId="42" applyNumberFormat="1" applyFont="1" applyFill="1" applyAlignment="1">
      <alignment horizontal="center"/>
    </xf>
    <xf numFmtId="4" fontId="3" fillId="0" borderId="0" xfId="42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/>
    </xf>
    <xf numFmtId="169" fontId="3" fillId="0" borderId="0" xfId="0" applyNumberFormat="1" applyFont="1" applyFill="1" applyAlignment="1" applyProtection="1">
      <alignment horizontal="left"/>
      <protection/>
    </xf>
    <xf numFmtId="3" fontId="11" fillId="0" borderId="0" xfId="0" applyNumberFormat="1" applyFont="1" applyFill="1" applyAlignment="1" applyProtection="1">
      <alignment horizontal="left"/>
      <protection/>
    </xf>
    <xf numFmtId="169" fontId="4" fillId="0" borderId="0" xfId="0" applyNumberFormat="1" applyFont="1" applyFill="1" applyAlignment="1">
      <alignment/>
    </xf>
    <xf numFmtId="37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5" fontId="3" fillId="0" borderId="0" xfId="0" applyNumberFormat="1" applyFont="1" applyFill="1" applyAlignment="1" applyProtection="1">
      <alignment horizontal="center"/>
      <protection/>
    </xf>
    <xf numFmtId="5" fontId="3" fillId="0" borderId="0" xfId="0" applyNumberFormat="1" applyFont="1" applyFill="1" applyAlignment="1">
      <alignment/>
    </xf>
    <xf numFmtId="5" fontId="3" fillId="0" borderId="0" xfId="0" applyNumberFormat="1" applyFont="1" applyFill="1" applyAlignment="1" applyProtection="1">
      <alignment horizontal="center"/>
      <protection locked="0"/>
    </xf>
    <xf numFmtId="5" fontId="3" fillId="0" borderId="0" xfId="0" applyNumberFormat="1" applyFont="1" applyFill="1" applyAlignment="1">
      <alignment horizontal="center"/>
    </xf>
    <xf numFmtId="5" fontId="3" fillId="0" borderId="0" xfId="0" applyNumberFormat="1" applyFont="1" applyFill="1" applyAlignment="1" applyProtection="1">
      <alignment/>
      <protection locked="0"/>
    </xf>
    <xf numFmtId="5" fontId="3" fillId="0" borderId="0" xfId="0" applyNumberFormat="1" applyFont="1" applyFill="1" applyAlignment="1" applyProtection="1">
      <alignment horizontal="fill"/>
      <protection/>
    </xf>
    <xf numFmtId="0" fontId="11" fillId="0" borderId="0" xfId="0" applyFont="1" applyFill="1" applyAlignment="1" applyProtection="1">
      <alignment horizontal="right"/>
      <protection/>
    </xf>
    <xf numFmtId="43" fontId="11" fillId="0" borderId="0" xfId="42" applyNumberFormat="1" applyFont="1" applyFill="1" applyAlignment="1">
      <alignment horizontal="right"/>
    </xf>
    <xf numFmtId="175" fontId="11" fillId="0" borderId="0" xfId="42" applyNumberFormat="1" applyFont="1" applyFill="1" applyAlignment="1" applyProtection="1">
      <alignment horizontal="right"/>
      <protection/>
    </xf>
    <xf numFmtId="175" fontId="11" fillId="0" borderId="0" xfId="42" applyNumberFormat="1" applyFont="1" applyFill="1" applyAlignment="1">
      <alignment horizontal="right"/>
    </xf>
    <xf numFmtId="0" fontId="3" fillId="0" borderId="0" xfId="66" applyNumberFormat="1" applyFont="1" applyFill="1" applyAlignment="1" applyProtection="1">
      <alignment/>
      <protection/>
    </xf>
    <xf numFmtId="2" fontId="3" fillId="0" borderId="0" xfId="42" applyNumberFormat="1" applyFont="1" applyFill="1" applyAlignment="1" applyProtection="1">
      <alignment horizontal="right"/>
      <protection/>
    </xf>
    <xf numFmtId="1" fontId="3" fillId="0" borderId="0" xfId="42" applyNumberFormat="1" applyFont="1" applyFill="1" applyAlignment="1" applyProtection="1">
      <alignment horizontal="right"/>
      <protection/>
    </xf>
    <xf numFmtId="167" fontId="3" fillId="0" borderId="0" xfId="66" applyNumberFormat="1" applyFont="1" applyFill="1" applyAlignment="1" applyProtection="1">
      <alignment/>
      <protection/>
    </xf>
    <xf numFmtId="167" fontId="3" fillId="0" borderId="0" xfId="66" applyNumberFormat="1" applyFont="1" applyFill="1" applyAlignment="1" applyProtection="1">
      <alignment/>
      <protection locked="0"/>
    </xf>
    <xf numFmtId="167" fontId="3" fillId="0" borderId="0" xfId="42" applyNumberFormat="1" applyFont="1" applyFill="1" applyAlignment="1" applyProtection="1">
      <alignment/>
      <protection/>
    </xf>
    <xf numFmtId="168" fontId="3" fillId="0" borderId="0" xfId="42" applyNumberFormat="1" applyFont="1" applyFill="1" applyAlignment="1">
      <alignment horizontal="right"/>
    </xf>
    <xf numFmtId="168" fontId="3" fillId="0" borderId="0" xfId="42" applyNumberFormat="1" applyFont="1" applyFill="1" applyAlignment="1" applyProtection="1">
      <alignment horizontal="right"/>
      <protection/>
    </xf>
    <xf numFmtId="168" fontId="3" fillId="0" borderId="0" xfId="42" applyNumberFormat="1" applyFont="1" applyFill="1" applyAlignment="1">
      <alignment horizontal="center"/>
    </xf>
    <xf numFmtId="168" fontId="3" fillId="0" borderId="0" xfId="42" applyNumberFormat="1" applyFont="1" applyFill="1" applyAlignment="1" applyProtection="1">
      <alignment horizontal="center"/>
      <protection/>
    </xf>
    <xf numFmtId="43" fontId="3" fillId="0" borderId="0" xfId="42" applyNumberFormat="1" applyFont="1" applyFill="1" applyAlignment="1">
      <alignment/>
    </xf>
    <xf numFmtId="2" fontId="3" fillId="0" borderId="0" xfId="42" applyNumberFormat="1" applyFont="1" applyFill="1" applyAlignment="1">
      <alignment horizontal="center"/>
    </xf>
    <xf numFmtId="168" fontId="3" fillId="0" borderId="0" xfId="42" applyNumberFormat="1" applyFont="1" applyFill="1" applyAlignment="1" applyProtection="1">
      <alignment horizontal="center"/>
      <protection locked="0"/>
    </xf>
    <xf numFmtId="168" fontId="3" fillId="0" borderId="0" xfId="42" applyNumberFormat="1" applyFont="1" applyFill="1" applyAlignment="1" applyProtection="1">
      <alignment horizontal="right"/>
      <protection locked="0"/>
    </xf>
    <xf numFmtId="168" fontId="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 applyProtection="1">
      <alignment horizontal="fill"/>
      <protection/>
    </xf>
    <xf numFmtId="168" fontId="3" fillId="0" borderId="0" xfId="0" applyNumberFormat="1" applyFont="1" applyFill="1" applyAlignment="1" applyProtection="1">
      <alignment horizontal="center"/>
      <protection locked="0"/>
    </xf>
    <xf numFmtId="168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 applyProtection="1">
      <alignment horizontal="center"/>
      <protection/>
    </xf>
    <xf numFmtId="3" fontId="3" fillId="0" borderId="0" xfId="42" applyNumberFormat="1" applyFont="1" applyFill="1" applyAlignment="1">
      <alignment horizontal="right"/>
    </xf>
    <xf numFmtId="3" fontId="3" fillId="0" borderId="0" xfId="42" applyNumberFormat="1" applyFont="1" applyFill="1" applyAlignment="1" applyProtection="1">
      <alignment horizontal="right"/>
      <protection locked="0"/>
    </xf>
    <xf numFmtId="1" fontId="3" fillId="0" borderId="0" xfId="42" applyNumberFormat="1" applyFont="1" applyFill="1" applyAlignment="1" applyProtection="1">
      <alignment horizontal="right"/>
      <protection locked="0"/>
    </xf>
    <xf numFmtId="1" fontId="3" fillId="0" borderId="0" xfId="42" applyNumberFormat="1" applyFont="1" applyFill="1" applyAlignment="1">
      <alignment horizontal="right"/>
    </xf>
    <xf numFmtId="3" fontId="3" fillId="0" borderId="0" xfId="42" applyNumberFormat="1" applyFont="1" applyFill="1" applyAlignment="1" applyProtection="1">
      <alignment horizontal="center"/>
      <protection locked="0"/>
    </xf>
    <xf numFmtId="3" fontId="3" fillId="0" borderId="0" xfId="42" applyNumberFormat="1" applyFont="1" applyFill="1" applyAlignment="1" applyProtection="1">
      <alignment horizontal="right"/>
      <protection/>
    </xf>
    <xf numFmtId="175" fontId="3" fillId="0" borderId="0" xfId="42" applyNumberFormat="1" applyFont="1" applyFill="1" applyAlignment="1" applyProtection="1">
      <alignment/>
      <protection locked="0"/>
    </xf>
    <xf numFmtId="165" fontId="3" fillId="0" borderId="0" xfId="42" applyNumberFormat="1" applyFont="1" applyFill="1" applyAlignment="1" applyProtection="1">
      <alignment horizontal="center"/>
      <protection locked="0"/>
    </xf>
    <xf numFmtId="165" fontId="3" fillId="0" borderId="0" xfId="42" applyNumberFormat="1" applyFont="1" applyFill="1" applyAlignment="1">
      <alignment horizontal="center"/>
    </xf>
    <xf numFmtId="168" fontId="3" fillId="0" borderId="0" xfId="0" applyNumberFormat="1" applyFont="1" applyFill="1" applyAlignment="1" applyProtection="1">
      <alignment horizontal="right"/>
      <protection locked="0"/>
    </xf>
    <xf numFmtId="168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 applyProtection="1">
      <alignment/>
      <protection locked="0"/>
    </xf>
    <xf numFmtId="168" fontId="3" fillId="0" borderId="0" xfId="0" applyNumberFormat="1" applyFont="1" applyFill="1" applyAlignment="1" applyProtection="1">
      <alignment horizontal="right"/>
      <protection/>
    </xf>
    <xf numFmtId="165" fontId="3" fillId="0" borderId="0" xfId="42" applyNumberFormat="1" applyFont="1" applyFill="1" applyAlignment="1" applyProtection="1">
      <alignment horizontal="right"/>
      <protection locked="0"/>
    </xf>
    <xf numFmtId="165" fontId="3" fillId="0" borderId="0" xfId="42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8" fontId="3" fillId="0" borderId="0" xfId="42" applyNumberFormat="1" applyFont="1" applyFill="1" applyAlignment="1" applyProtection="1">
      <alignment/>
      <protection locked="0"/>
    </xf>
    <xf numFmtId="1" fontId="3" fillId="0" borderId="0" xfId="42" applyNumberFormat="1" applyFont="1" applyFill="1" applyAlignment="1" applyProtection="1">
      <alignment/>
      <protection locked="0"/>
    </xf>
    <xf numFmtId="41" fontId="3" fillId="0" borderId="0" xfId="0" applyNumberFormat="1" applyFont="1" applyFill="1" applyAlignment="1">
      <alignment/>
    </xf>
    <xf numFmtId="3" fontId="3" fillId="0" borderId="0" xfId="0" applyNumberFormat="1" applyFont="1" applyFill="1" applyAlignment="1" applyProtection="1">
      <alignment horizontal="right"/>
      <protection/>
    </xf>
    <xf numFmtId="37" fontId="3" fillId="0" borderId="1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 horizontal="center"/>
      <protection/>
    </xf>
    <xf numFmtId="37" fontId="3" fillId="0" borderId="0" xfId="0" applyNumberFormat="1" applyFont="1" applyFill="1" applyAlignment="1" applyProtection="1">
      <alignment horizontal="fill"/>
      <protection/>
    </xf>
    <xf numFmtId="166" fontId="11" fillId="0" borderId="0" xfId="0" applyNumberFormat="1" applyFont="1" applyFill="1" applyAlignment="1" applyProtection="1">
      <alignment/>
      <protection/>
    </xf>
    <xf numFmtId="39" fontId="3" fillId="0" borderId="0" xfId="0" applyNumberFormat="1" applyFont="1" applyFill="1" applyAlignment="1" applyProtection="1">
      <alignment horizontal="center"/>
      <protection/>
    </xf>
    <xf numFmtId="37" fontId="3" fillId="0" borderId="0" xfId="0" applyNumberFormat="1" applyFont="1" applyFill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 locked="0"/>
    </xf>
    <xf numFmtId="37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 applyProtection="1">
      <alignment/>
      <protection/>
    </xf>
    <xf numFmtId="180" fontId="3" fillId="0" borderId="0" xfId="0" applyNumberFormat="1" applyFont="1" applyFill="1" applyAlignment="1" applyProtection="1">
      <alignment/>
      <protection locked="0"/>
    </xf>
    <xf numFmtId="39" fontId="3" fillId="0" borderId="0" xfId="0" applyNumberFormat="1" applyFont="1" applyFill="1" applyAlignment="1" applyProtection="1">
      <alignment horizontal="center"/>
      <protection locked="0"/>
    </xf>
    <xf numFmtId="39" fontId="3" fillId="0" borderId="0" xfId="0" applyNumberFormat="1" applyFont="1" applyFill="1" applyAlignment="1" applyProtection="1">
      <alignment/>
      <protection locked="0"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fill"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37" fontId="3" fillId="0" borderId="0" xfId="0" applyNumberFormat="1" applyFont="1" applyFill="1" applyAlignment="1" applyProtection="1">
      <alignment horizontal="right"/>
      <protection/>
    </xf>
    <xf numFmtId="37" fontId="3" fillId="0" borderId="0" xfId="0" applyNumberFormat="1" applyFont="1" applyFill="1" applyAlignment="1" applyProtection="1">
      <alignment horizontal="left"/>
      <protection locked="0"/>
    </xf>
    <xf numFmtId="37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indent="1"/>
    </xf>
    <xf numFmtId="37" fontId="3" fillId="0" borderId="0" xfId="42" applyNumberFormat="1" applyFont="1" applyFill="1" applyAlignment="1" applyProtection="1">
      <alignment/>
      <protection/>
    </xf>
    <xf numFmtId="37" fontId="3" fillId="0" borderId="0" xfId="63" applyNumberFormat="1" applyFont="1" applyFill="1" applyProtection="1">
      <alignment/>
      <protection/>
    </xf>
    <xf numFmtId="169" fontId="3" fillId="0" borderId="0" xfId="42" applyNumberFormat="1" applyFont="1" applyFill="1" applyAlignment="1" applyProtection="1">
      <alignment/>
      <protection/>
    </xf>
    <xf numFmtId="169" fontId="3" fillId="0" borderId="0" xfId="63" applyNumberFormat="1" applyFont="1" applyFill="1" applyProtection="1">
      <alignment/>
      <protection/>
    </xf>
    <xf numFmtId="169" fontId="23" fillId="0" borderId="0" xfId="42" applyNumberFormat="1" applyFont="1" applyFill="1" applyBorder="1" applyAlignment="1" applyProtection="1">
      <alignment/>
      <protection/>
    </xf>
    <xf numFmtId="169" fontId="3" fillId="0" borderId="0" xfId="42" applyNumberFormat="1" applyFont="1" applyFill="1" applyAlignment="1">
      <alignment/>
    </xf>
    <xf numFmtId="169" fontId="3" fillId="0" borderId="0" xfId="63" applyNumberFormat="1" applyFont="1" applyFill="1">
      <alignment/>
      <protection/>
    </xf>
    <xf numFmtId="2" fontId="3" fillId="0" borderId="0" xfId="0" applyNumberFormat="1" applyFont="1" applyFill="1" applyAlignment="1" applyProtection="1">
      <alignment/>
      <protection locked="0"/>
    </xf>
    <xf numFmtId="2" fontId="3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24" fillId="0" borderId="0" xfId="0" applyFont="1" applyFill="1" applyAlignment="1" applyProtection="1">
      <alignment horizontal="left"/>
      <protection/>
    </xf>
    <xf numFmtId="37" fontId="3" fillId="0" borderId="0" xfId="42" applyNumberFormat="1" applyFont="1" applyFill="1" applyBorder="1" applyAlignment="1">
      <alignment/>
    </xf>
    <xf numFmtId="39" fontId="3" fillId="0" borderId="0" xfId="59" applyNumberFormat="1" applyFont="1" applyFill="1">
      <alignment/>
      <protection/>
    </xf>
    <xf numFmtId="39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 indent="1"/>
    </xf>
    <xf numFmtId="37" fontId="3" fillId="0" borderId="0" xfId="42" applyNumberFormat="1" applyFont="1" applyFill="1" applyAlignment="1" applyProtection="1">
      <alignment horizontal="right"/>
      <protection/>
    </xf>
    <xf numFmtId="37" fontId="3" fillId="0" borderId="0" xfId="42" applyNumberFormat="1" applyFont="1" applyFill="1" applyAlignment="1" applyProtection="1">
      <alignment horizontal="right"/>
      <protection locked="0"/>
    </xf>
    <xf numFmtId="37" fontId="4" fillId="0" borderId="0" xfId="0" applyNumberFormat="1" applyFont="1" applyFill="1" applyAlignment="1" applyProtection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 locked="0"/>
    </xf>
    <xf numFmtId="37" fontId="3" fillId="0" borderId="0" xfId="0" applyNumberFormat="1" applyFont="1" applyFill="1" applyAlignment="1">
      <alignment horizontal="right"/>
    </xf>
    <xf numFmtId="175" fontId="3" fillId="0" borderId="0" xfId="0" applyNumberFormat="1" applyFont="1" applyFill="1" applyAlignment="1">
      <alignment/>
    </xf>
    <xf numFmtId="175" fontId="3" fillId="0" borderId="0" xfId="0" applyNumberFormat="1" applyFont="1" applyFill="1" applyAlignment="1">
      <alignment horizontal="left" indent="1"/>
    </xf>
    <xf numFmtId="37" fontId="11" fillId="0" borderId="0" xfId="0" applyNumberFormat="1" applyFont="1" applyFill="1" applyAlignment="1" applyProtection="1">
      <alignment horizontal="left"/>
      <protection/>
    </xf>
    <xf numFmtId="37" fontId="11" fillId="0" borderId="0" xfId="0" applyNumberFormat="1" applyFont="1" applyFill="1" applyAlignment="1">
      <alignment/>
    </xf>
    <xf numFmtId="37" fontId="11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>
      <alignment horizontal="left" indent="1"/>
    </xf>
    <xf numFmtId="37" fontId="3" fillId="0" borderId="0" xfId="0" applyNumberFormat="1" applyFont="1" applyFill="1" applyAlignment="1" applyProtection="1">
      <alignment horizontal="center"/>
      <protection locked="0"/>
    </xf>
    <xf numFmtId="39" fontId="3" fillId="0" borderId="0" xfId="66" applyNumberFormat="1" applyFont="1" applyFill="1" applyAlignment="1" applyProtection="1">
      <alignment/>
      <protection locked="0"/>
    </xf>
    <xf numFmtId="37" fontId="3" fillId="0" borderId="0" xfId="42" applyNumberFormat="1" applyFont="1" applyFill="1" applyAlignment="1">
      <alignment/>
    </xf>
    <xf numFmtId="37" fontId="3" fillId="0" borderId="0" xfId="0" applyNumberFormat="1" applyFont="1" applyFill="1" applyAlignment="1" applyProtection="1">
      <alignment horizontal="left"/>
      <protection/>
    </xf>
    <xf numFmtId="0" fontId="27" fillId="0" borderId="0" xfId="0" applyFont="1" applyFill="1" applyAlignment="1">
      <alignment/>
    </xf>
    <xf numFmtId="175" fontId="27" fillId="0" borderId="0" xfId="42" applyNumberFormat="1" applyFont="1" applyFill="1" applyAlignment="1">
      <alignment/>
    </xf>
    <xf numFmtId="175" fontId="3" fillId="0" borderId="0" xfId="42" applyNumberFormat="1" applyFont="1" applyFill="1" applyAlignment="1" applyProtection="1">
      <alignment horizontal="fill"/>
      <protection/>
    </xf>
    <xf numFmtId="37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Alignment="1" applyProtection="1">
      <alignment/>
      <protection/>
    </xf>
    <xf numFmtId="10" fontId="3" fillId="0" borderId="0" xfId="0" applyNumberFormat="1" applyFont="1" applyFill="1" applyAlignment="1" applyProtection="1">
      <alignment horizontal="fill"/>
      <protection/>
    </xf>
    <xf numFmtId="39" fontId="3" fillId="0" borderId="0" xfId="0" applyNumberFormat="1" applyFont="1" applyFill="1" applyAlignment="1" applyProtection="1">
      <alignment horizontal="right"/>
      <protection/>
    </xf>
    <xf numFmtId="37" fontId="3" fillId="0" borderId="0" xfId="61" applyNumberFormat="1" applyFont="1" applyFill="1" applyProtection="1">
      <alignment/>
      <protection/>
    </xf>
    <xf numFmtId="166" fontId="3" fillId="0" borderId="0" xfId="61" applyNumberFormat="1" applyFont="1" applyFill="1" applyProtection="1">
      <alignment/>
      <protection/>
    </xf>
    <xf numFmtId="0" fontId="3" fillId="0" borderId="0" xfId="61" applyFont="1" applyFill="1">
      <alignment/>
      <protection/>
    </xf>
    <xf numFmtId="167" fontId="3" fillId="0" borderId="0" xfId="0" applyNumberFormat="1" applyFont="1" applyFill="1" applyAlignment="1" applyProtection="1">
      <alignment/>
      <protection/>
    </xf>
    <xf numFmtId="175" fontId="3" fillId="0" borderId="0" xfId="42" applyNumberFormat="1" applyFont="1" applyFill="1" applyAlignment="1" applyProtection="1">
      <alignment/>
      <protection/>
    </xf>
    <xf numFmtId="167" fontId="3" fillId="0" borderId="0" xfId="0" applyNumberFormat="1" applyFont="1" applyFill="1" applyAlignment="1" applyProtection="1">
      <alignment horizontal="center"/>
      <protection/>
    </xf>
    <xf numFmtId="175" fontId="3" fillId="0" borderId="0" xfId="0" applyNumberFormat="1" applyFont="1" applyFill="1" applyAlignment="1" applyProtection="1">
      <alignment/>
      <protection/>
    </xf>
    <xf numFmtId="175" fontId="3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>
      <alignment horizontal="centerContinuous"/>
    </xf>
    <xf numFmtId="164" fontId="3" fillId="0" borderId="0" xfId="0" applyNumberFormat="1" applyFont="1" applyFill="1" applyAlignment="1" applyProtection="1">
      <alignment horizontal="centerContinuous"/>
      <protection/>
    </xf>
    <xf numFmtId="39" fontId="3" fillId="0" borderId="0" xfId="0" applyNumberFormat="1" applyFont="1" applyFill="1" applyAlignment="1" applyProtection="1">
      <alignment horizontal="centerContinuous"/>
      <protection/>
    </xf>
    <xf numFmtId="37" fontId="3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left" indent="1"/>
      <protection locked="0"/>
    </xf>
    <xf numFmtId="3" fontId="3" fillId="0" borderId="0" xfId="0" applyNumberFormat="1" applyFont="1" applyFill="1" applyAlignment="1" applyProtection="1">
      <alignment horizontal="left"/>
      <protection locked="0"/>
    </xf>
    <xf numFmtId="175" fontId="3" fillId="0" borderId="0" xfId="42" applyNumberFormat="1" applyFont="1" applyFill="1" applyBorder="1" applyAlignment="1">
      <alignment/>
    </xf>
    <xf numFmtId="0" fontId="28" fillId="0" borderId="0" xfId="60" applyFont="1" applyFill="1" applyBorder="1" applyAlignment="1">
      <alignment horizontal="center"/>
      <protection/>
    </xf>
    <xf numFmtId="0" fontId="28" fillId="0" borderId="0" xfId="60" applyFont="1" applyFill="1" applyBorder="1" applyAlignment="1">
      <alignment wrapText="1"/>
      <protection/>
    </xf>
    <xf numFmtId="175" fontId="3" fillId="0" borderId="0" xfId="42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28" fillId="0" borderId="0" xfId="60" applyNumberFormat="1" applyFont="1" applyFill="1" applyBorder="1" applyAlignment="1">
      <alignment horizontal="right" wrapText="1"/>
      <protection/>
    </xf>
    <xf numFmtId="37" fontId="28" fillId="0" borderId="0" xfId="0" applyNumberFormat="1" applyFont="1" applyFill="1" applyAlignment="1" applyProtection="1">
      <alignment/>
      <protection locked="0"/>
    </xf>
    <xf numFmtId="37" fontId="3" fillId="0" borderId="0" xfId="0" applyNumberFormat="1" applyFont="1" applyFill="1" applyAlignment="1" applyProtection="1" quotePrefix="1">
      <alignment horizontal="centerContinuous"/>
      <protection/>
    </xf>
    <xf numFmtId="164" fontId="3" fillId="0" borderId="0" xfId="0" applyNumberFormat="1" applyFont="1" applyFill="1" applyAlignment="1">
      <alignment/>
    </xf>
    <xf numFmtId="5" fontId="3" fillId="0" borderId="0" xfId="0" applyNumberFormat="1" applyFont="1" applyFill="1" applyAlignment="1" applyProtection="1">
      <alignment/>
      <protection/>
    </xf>
    <xf numFmtId="183" fontId="3" fillId="0" borderId="0" xfId="44" applyNumberFormat="1" applyFont="1" applyFill="1" applyAlignment="1">
      <alignment horizontal="center"/>
    </xf>
    <xf numFmtId="174" fontId="3" fillId="0" borderId="0" xfId="42" applyNumberFormat="1" applyFont="1" applyFill="1" applyAlignment="1" applyProtection="1">
      <alignment horizontal="fill"/>
      <protection/>
    </xf>
    <xf numFmtId="174" fontId="3" fillId="0" borderId="0" xfId="42" applyNumberFormat="1" applyFont="1" applyFill="1" applyAlignment="1" applyProtection="1">
      <alignment horizontal="center"/>
      <protection/>
    </xf>
    <xf numFmtId="174" fontId="3" fillId="33" borderId="0" xfId="42" applyNumberFormat="1" applyFont="1" applyFill="1" applyAlignment="1" applyProtection="1">
      <alignment horizontal="fill"/>
      <protection/>
    </xf>
    <xf numFmtId="174" fontId="4" fillId="0" borderId="0" xfId="42" applyNumberFormat="1" applyFont="1" applyFill="1" applyAlignment="1">
      <alignment/>
    </xf>
    <xf numFmtId="174" fontId="0" fillId="0" borderId="0" xfId="42" applyNumberFormat="1" applyFont="1" applyAlignment="1">
      <alignment/>
    </xf>
    <xf numFmtId="174" fontId="4" fillId="0" borderId="0" xfId="42" applyNumberFormat="1" applyFont="1" applyFill="1" applyAlignment="1" applyProtection="1">
      <alignment/>
      <protection/>
    </xf>
    <xf numFmtId="183" fontId="3" fillId="0" borderId="0" xfId="44" applyNumberFormat="1" applyFont="1" applyFill="1" applyAlignment="1" applyProtection="1">
      <alignment horizontal="center"/>
      <protection/>
    </xf>
    <xf numFmtId="0" fontId="32" fillId="0" borderId="0" xfId="0" applyFont="1" applyFill="1" applyAlignment="1">
      <alignment/>
    </xf>
    <xf numFmtId="169" fontId="32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0" fontId="32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0" xfId="0" applyFont="1" applyFill="1" applyAlignment="1" applyProtection="1">
      <alignment/>
      <protection locked="0"/>
    </xf>
    <xf numFmtId="169" fontId="32" fillId="0" borderId="0" xfId="0" applyNumberFormat="1" applyFont="1" applyFill="1" applyAlignment="1" applyProtection="1">
      <alignment/>
      <protection locked="0"/>
    </xf>
    <xf numFmtId="3" fontId="32" fillId="0" borderId="0" xfId="0" applyNumberFormat="1" applyFont="1" applyFill="1" applyAlignment="1" applyProtection="1">
      <alignment/>
      <protection locked="0"/>
    </xf>
    <xf numFmtId="169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164" fontId="32" fillId="0" borderId="0" xfId="0" applyNumberFormat="1" applyFont="1" applyFill="1" applyAlignment="1" applyProtection="1">
      <alignment/>
      <protection/>
    </xf>
    <xf numFmtId="3" fontId="32" fillId="0" borderId="0" xfId="0" applyNumberFormat="1" applyFont="1" applyFill="1" applyAlignment="1" applyProtection="1">
      <alignment/>
      <protection/>
    </xf>
    <xf numFmtId="165" fontId="32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 applyProtection="1">
      <alignment horizontal="left"/>
      <protection locked="0"/>
    </xf>
    <xf numFmtId="169" fontId="14" fillId="0" borderId="0" xfId="0" applyNumberFormat="1" applyFont="1" applyFill="1" applyAlignment="1" applyProtection="1">
      <alignment/>
      <protection/>
    </xf>
    <xf numFmtId="3" fontId="14" fillId="0" borderId="0" xfId="0" applyNumberFormat="1" applyFont="1" applyFill="1" applyAlignment="1">
      <alignment/>
    </xf>
    <xf numFmtId="169" fontId="14" fillId="0" borderId="0" xfId="0" applyNumberFormat="1" applyFont="1" applyFill="1" applyAlignment="1">
      <alignment/>
    </xf>
    <xf numFmtId="3" fontId="34" fillId="0" borderId="0" xfId="0" applyNumberFormat="1" applyFont="1" applyFill="1" applyAlignment="1" applyProtection="1">
      <alignment horizontal="right"/>
      <protection/>
    </xf>
    <xf numFmtId="0" fontId="34" fillId="0" borderId="0" xfId="0" applyFont="1" applyFill="1" applyAlignment="1">
      <alignment/>
    </xf>
    <xf numFmtId="39" fontId="14" fillId="0" borderId="0" xfId="0" applyNumberFormat="1" applyFont="1" applyFill="1" applyAlignment="1" applyProtection="1">
      <alignment/>
      <protection/>
    </xf>
    <xf numFmtId="3" fontId="34" fillId="0" borderId="0" xfId="0" applyNumberFormat="1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fill"/>
      <protection/>
    </xf>
    <xf numFmtId="169" fontId="14" fillId="0" borderId="0" xfId="0" applyNumberFormat="1" applyFont="1" applyFill="1" applyAlignment="1" applyProtection="1">
      <alignment horizontal="fill"/>
      <protection/>
    </xf>
    <xf numFmtId="3" fontId="14" fillId="0" borderId="0" xfId="0" applyNumberFormat="1" applyFont="1" applyFill="1" applyAlignment="1" applyProtection="1">
      <alignment horizontal="fill"/>
      <protection/>
    </xf>
    <xf numFmtId="164" fontId="14" fillId="0" borderId="0" xfId="0" applyNumberFormat="1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>
      <alignment horizontal="center"/>
    </xf>
    <xf numFmtId="169" fontId="14" fillId="0" borderId="0" xfId="0" applyNumberFormat="1" applyFont="1" applyFill="1" applyAlignment="1" applyProtection="1">
      <alignment horizontal="center"/>
      <protection/>
    </xf>
    <xf numFmtId="42" fontId="3" fillId="0" borderId="0" xfId="0" applyNumberFormat="1" applyFont="1" applyFill="1" applyAlignment="1">
      <alignment/>
    </xf>
    <xf numFmtId="42" fontId="3" fillId="0" borderId="0" xfId="42" applyNumberFormat="1" applyFont="1" applyFill="1" applyAlignment="1">
      <alignment/>
    </xf>
    <xf numFmtId="3" fontId="14" fillId="0" borderId="0" xfId="0" applyNumberFormat="1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right"/>
      <protection/>
    </xf>
    <xf numFmtId="179" fontId="14" fillId="0" borderId="0" xfId="0" applyNumberFormat="1" applyFont="1" applyFill="1" applyAlignment="1">
      <alignment horizontal="center"/>
    </xf>
    <xf numFmtId="41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41" fontId="14" fillId="0" borderId="0" xfId="0" applyNumberFormat="1" applyFont="1" applyFill="1" applyAlignment="1" applyProtection="1">
      <alignment horizontal="fill"/>
      <protection/>
    </xf>
    <xf numFmtId="39" fontId="14" fillId="0" borderId="0" xfId="0" applyNumberFormat="1" applyFont="1" applyFill="1" applyAlignment="1" applyProtection="1">
      <alignment horizontal="fill"/>
      <protection/>
    </xf>
    <xf numFmtId="2" fontId="14" fillId="0" borderId="0" xfId="0" applyNumberFormat="1" applyFont="1" applyFill="1" applyAlignment="1" applyProtection="1">
      <alignment horizontal="center"/>
      <protection/>
    </xf>
    <xf numFmtId="0" fontId="34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 horizontal="left"/>
      <protection/>
    </xf>
    <xf numFmtId="0" fontId="36" fillId="0" borderId="0" xfId="0" applyFont="1" applyFill="1" applyAlignment="1" applyProtection="1">
      <alignment horizontal="right"/>
      <protection/>
    </xf>
    <xf numFmtId="166" fontId="14" fillId="0" borderId="0" xfId="0" applyNumberFormat="1" applyFont="1" applyFill="1" applyAlignment="1" applyProtection="1">
      <alignment/>
      <protection/>
    </xf>
    <xf numFmtId="166" fontId="14" fillId="0" borderId="0" xfId="0" applyNumberFormat="1" applyFont="1" applyFill="1" applyAlignment="1" applyProtection="1">
      <alignment horizontal="center"/>
      <protection/>
    </xf>
    <xf numFmtId="164" fontId="14" fillId="0" borderId="0" xfId="0" applyNumberFormat="1" applyFont="1" applyFill="1" applyAlignment="1" applyProtection="1">
      <alignment/>
      <protection/>
    </xf>
    <xf numFmtId="164" fontId="34" fillId="0" borderId="0" xfId="0" applyNumberFormat="1" applyFont="1" applyFill="1" applyAlignment="1" applyProtection="1">
      <alignment/>
      <protection/>
    </xf>
    <xf numFmtId="169" fontId="34" fillId="0" borderId="0" xfId="0" applyNumberFormat="1" applyFont="1" applyFill="1" applyAlignment="1" applyProtection="1">
      <alignment/>
      <protection/>
    </xf>
    <xf numFmtId="3" fontId="34" fillId="0" borderId="0" xfId="0" applyNumberFormat="1" applyFont="1" applyFill="1" applyAlignment="1" applyProtection="1">
      <alignment/>
      <protection/>
    </xf>
    <xf numFmtId="39" fontId="34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169" fontId="35" fillId="0" borderId="0" xfId="0" applyNumberFormat="1" applyFont="1" applyFill="1" applyAlignment="1">
      <alignment/>
    </xf>
    <xf numFmtId="3" fontId="35" fillId="0" borderId="0" xfId="0" applyNumberFormat="1" applyFont="1" applyFill="1" applyAlignment="1" applyProtection="1">
      <alignment/>
      <protection/>
    </xf>
    <xf numFmtId="1" fontId="14" fillId="0" borderId="0" xfId="0" applyNumberFormat="1" applyFont="1" applyFill="1" applyAlignment="1" applyProtection="1">
      <alignment/>
      <protection/>
    </xf>
    <xf numFmtId="3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 locked="0"/>
    </xf>
    <xf numFmtId="175" fontId="14" fillId="0" borderId="0" xfId="42" applyNumberFormat="1" applyFont="1" applyFill="1" applyAlignment="1" applyProtection="1">
      <alignment horizontal="center"/>
      <protection locked="0"/>
    </xf>
    <xf numFmtId="175" fontId="14" fillId="0" borderId="0" xfId="42" applyNumberFormat="1" applyFont="1" applyFill="1" applyAlignment="1" applyProtection="1">
      <alignment/>
      <protection locked="0"/>
    </xf>
    <xf numFmtId="165" fontId="14" fillId="0" borderId="0" xfId="0" applyNumberFormat="1" applyFont="1" applyFill="1" applyAlignment="1" applyProtection="1">
      <alignment horizontal="fill"/>
      <protection/>
    </xf>
    <xf numFmtId="0" fontId="14" fillId="0" borderId="0" xfId="0" applyFont="1" applyFill="1" applyBorder="1" applyAlignment="1" applyProtection="1">
      <alignment horizontal="left"/>
      <protection/>
    </xf>
    <xf numFmtId="175" fontId="14" fillId="0" borderId="0" xfId="42" applyNumberFormat="1" applyFont="1" applyFill="1" applyAlignment="1" applyProtection="1">
      <alignment horizontal="right"/>
      <protection locked="0"/>
    </xf>
    <xf numFmtId="175" fontId="14" fillId="0" borderId="0" xfId="42" applyNumberFormat="1" applyFont="1" applyFill="1" applyAlignment="1">
      <alignment horizontal="right"/>
    </xf>
    <xf numFmtId="175" fontId="14" fillId="0" borderId="0" xfId="42" applyNumberFormat="1" applyFont="1" applyFill="1" applyAlignment="1" applyProtection="1">
      <alignment horizontal="right"/>
      <protection/>
    </xf>
    <xf numFmtId="0" fontId="3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 applyProtection="1">
      <alignment horizontal="right"/>
      <protection/>
    </xf>
    <xf numFmtId="169" fontId="14" fillId="0" borderId="0" xfId="0" applyNumberFormat="1" applyFont="1" applyFill="1" applyAlignment="1" applyProtection="1">
      <alignment/>
      <protection locked="0"/>
    </xf>
    <xf numFmtId="3" fontId="14" fillId="0" borderId="0" xfId="0" applyNumberFormat="1" applyFont="1" applyFill="1" applyAlignment="1" applyProtection="1">
      <alignment/>
      <protection locked="0"/>
    </xf>
    <xf numFmtId="1" fontId="14" fillId="0" borderId="0" xfId="0" applyNumberFormat="1" applyFont="1" applyFill="1" applyAlignment="1">
      <alignment horizontal="right"/>
    </xf>
    <xf numFmtId="37" fontId="14" fillId="0" borderId="0" xfId="0" applyNumberFormat="1" applyFont="1" applyFill="1" applyAlignment="1" applyProtection="1">
      <alignment/>
      <protection/>
    </xf>
    <xf numFmtId="175" fontId="14" fillId="0" borderId="0" xfId="42" applyNumberFormat="1" applyFont="1" applyFill="1" applyAlignment="1">
      <alignment horizontal="center"/>
    </xf>
    <xf numFmtId="175" fontId="14" fillId="0" borderId="0" xfId="42" applyNumberFormat="1" applyFont="1" applyFill="1" applyAlignment="1" applyProtection="1">
      <alignment horizontal="center"/>
      <protection/>
    </xf>
    <xf numFmtId="37" fontId="34" fillId="0" borderId="0" xfId="0" applyNumberFormat="1" applyFont="1" applyFill="1" applyAlignment="1" applyProtection="1">
      <alignment/>
      <protection/>
    </xf>
    <xf numFmtId="43" fontId="14" fillId="0" borderId="0" xfId="42" applyNumberFormat="1" applyFont="1" applyFill="1" applyAlignment="1" applyProtection="1">
      <alignment horizontal="center"/>
      <protection locked="0"/>
    </xf>
    <xf numFmtId="2" fontId="14" fillId="0" borderId="0" xfId="0" applyNumberFormat="1" applyFont="1" applyFill="1" applyAlignment="1" applyProtection="1">
      <alignment horizontal="center"/>
      <protection locked="0"/>
    </xf>
    <xf numFmtId="43" fontId="14" fillId="0" borderId="0" xfId="42" applyNumberFormat="1" applyFont="1" applyFill="1" applyAlignment="1" applyProtection="1">
      <alignment/>
      <protection locked="0"/>
    </xf>
    <xf numFmtId="43" fontId="14" fillId="0" borderId="0" xfId="0" applyNumberFormat="1" applyFont="1" applyFill="1" applyAlignment="1" applyProtection="1">
      <alignment horizontal="fill"/>
      <protection/>
    </xf>
    <xf numFmtId="43" fontId="14" fillId="0" borderId="0" xfId="42" applyNumberFormat="1" applyFont="1" applyFill="1" applyAlignment="1">
      <alignment horizontal="center"/>
    </xf>
    <xf numFmtId="0" fontId="14" fillId="0" borderId="0" xfId="0" applyFont="1" applyFill="1" applyAlignment="1">
      <alignment horizontal="right"/>
    </xf>
    <xf numFmtId="3" fontId="35" fillId="0" borderId="0" xfId="0" applyNumberFormat="1" applyFont="1" applyFill="1" applyAlignment="1" applyProtection="1">
      <alignment horizontal="left"/>
      <protection/>
    </xf>
    <xf numFmtId="2" fontId="14" fillId="0" borderId="0" xfId="0" applyNumberFormat="1" applyFont="1" applyFill="1" applyAlignment="1" applyProtection="1">
      <alignment horizontal="fill"/>
      <protection/>
    </xf>
    <xf numFmtId="0" fontId="14" fillId="0" borderId="0" xfId="0" applyFont="1" applyFill="1" applyBorder="1" applyAlignment="1" applyProtection="1">
      <alignment/>
      <protection locked="0"/>
    </xf>
    <xf numFmtId="183" fontId="3" fillId="0" borderId="0" xfId="0" applyNumberFormat="1" applyFont="1" applyFill="1" applyAlignment="1">
      <alignment/>
    </xf>
    <xf numFmtId="37" fontId="3" fillId="0" borderId="0" xfId="42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 applyProtection="1">
      <alignment horizontal="center"/>
      <protection locked="0"/>
    </xf>
    <xf numFmtId="165" fontId="3" fillId="0" borderId="0" xfId="0" applyNumberFormat="1" applyFont="1" applyFill="1" applyAlignment="1" applyProtection="1">
      <alignment horizontal="left"/>
      <protection/>
    </xf>
    <xf numFmtId="165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 applyProtection="1">
      <alignment horizontal="fill" wrapText="1"/>
      <protection/>
    </xf>
    <xf numFmtId="0" fontId="3" fillId="0" borderId="0" xfId="0" applyFont="1" applyFill="1" applyAlignment="1" applyProtection="1">
      <alignment horizontal="left" wrapText="1"/>
      <protection/>
    </xf>
    <xf numFmtId="0" fontId="3" fillId="0" borderId="0" xfId="0" applyFont="1" applyFill="1" applyAlignment="1">
      <alignment horizontal="left"/>
    </xf>
    <xf numFmtId="5" fontId="3" fillId="0" borderId="0" xfId="0" applyNumberFormat="1" applyFont="1" applyFill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5" fontId="3" fillId="0" borderId="0" xfId="0" applyNumberFormat="1" applyFont="1" applyFill="1" applyAlignment="1" applyProtection="1">
      <alignment horizontal="left"/>
      <protection locked="0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Alignment="1">
      <alignment horizontal="right"/>
    </xf>
    <xf numFmtId="175" fontId="7" fillId="0" borderId="0" xfId="42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175" fontId="4" fillId="0" borderId="0" xfId="42" applyNumberFormat="1" applyFont="1" applyFill="1" applyAlignment="1">
      <alignment horizontal="right"/>
    </xf>
    <xf numFmtId="0" fontId="4" fillId="0" borderId="0" xfId="0" applyFont="1" applyFill="1" applyAlignment="1">
      <alignment horizontal="left" indent="1"/>
    </xf>
    <xf numFmtId="10" fontId="3" fillId="0" borderId="0" xfId="66" applyNumberFormat="1" applyFont="1" applyFill="1" applyAlignment="1">
      <alignment horizontal="left" indent="1"/>
    </xf>
    <xf numFmtId="43" fontId="3" fillId="0" borderId="0" xfId="42" applyFont="1" applyFill="1" applyAlignment="1">
      <alignment/>
    </xf>
    <xf numFmtId="43" fontId="3" fillId="0" borderId="0" xfId="42" applyFont="1" applyFill="1" applyAlignment="1">
      <alignment horizontal="left" indent="1"/>
    </xf>
    <xf numFmtId="43" fontId="3" fillId="0" borderId="0" xfId="42" applyFont="1" applyFill="1" applyAlignment="1" applyProtection="1">
      <alignment/>
      <protection/>
    </xf>
    <xf numFmtId="43" fontId="3" fillId="0" borderId="0" xfId="42" applyFont="1" applyFill="1" applyAlignment="1" applyProtection="1">
      <alignment horizontal="fill"/>
      <protection/>
    </xf>
    <xf numFmtId="39" fontId="3" fillId="0" borderId="0" xfId="0" applyNumberFormat="1" applyFont="1" applyFill="1" applyAlignment="1" applyProtection="1">
      <alignment horizontal="left" indent="1"/>
      <protection/>
    </xf>
    <xf numFmtId="175" fontId="4" fillId="0" borderId="0" xfId="42" applyNumberFormat="1" applyFont="1" applyFill="1" applyAlignment="1" applyProtection="1">
      <alignment horizontal="right"/>
      <protection/>
    </xf>
    <xf numFmtId="39" fontId="4" fillId="0" borderId="0" xfId="0" applyNumberFormat="1" applyFont="1" applyFill="1" applyAlignment="1" applyProtection="1">
      <alignment horizontal="left" indent="1"/>
      <protection/>
    </xf>
    <xf numFmtId="37" fontId="3" fillId="0" borderId="0" xfId="42" applyNumberFormat="1" applyFont="1" applyFill="1" applyBorder="1" applyAlignment="1">
      <alignment horizontal="right"/>
    </xf>
    <xf numFmtId="37" fontId="3" fillId="0" borderId="0" xfId="66" applyNumberFormat="1" applyFont="1" applyFill="1" applyAlignment="1" applyProtection="1">
      <alignment/>
      <protection/>
    </xf>
    <xf numFmtId="10" fontId="3" fillId="0" borderId="0" xfId="66" applyNumberFormat="1" applyFont="1" applyFill="1" applyAlignment="1" applyProtection="1">
      <alignment/>
      <protection/>
    </xf>
    <xf numFmtId="39" fontId="30" fillId="0" borderId="0" xfId="58" applyFont="1" applyFill="1">
      <alignment/>
      <protection/>
    </xf>
    <xf numFmtId="39" fontId="31" fillId="0" borderId="0" xfId="58" applyFont="1" applyFill="1" applyAlignment="1" applyProtection="1">
      <alignment horizontal="left"/>
      <protection/>
    </xf>
    <xf numFmtId="39" fontId="31" fillId="0" borderId="0" xfId="58" applyFont="1" applyFill="1" applyAlignment="1" applyProtection="1">
      <alignment horizontal="left"/>
      <protection locked="0"/>
    </xf>
    <xf numFmtId="37" fontId="31" fillId="0" borderId="0" xfId="58" applyNumberFormat="1" applyFont="1" applyFill="1" applyAlignment="1" applyProtection="1">
      <alignment horizontal="left"/>
      <protection locked="0"/>
    </xf>
    <xf numFmtId="39" fontId="30" fillId="0" borderId="0" xfId="58" applyFont="1" applyFill="1" applyAlignment="1" applyProtection="1">
      <alignment horizontal="fill"/>
      <protection/>
    </xf>
    <xf numFmtId="39" fontId="1" fillId="0" borderId="0" xfId="57" applyFont="1" applyFill="1">
      <alignment/>
      <protection/>
    </xf>
    <xf numFmtId="39" fontId="1" fillId="0" borderId="0" xfId="57" applyFont="1" applyFill="1" applyAlignment="1" applyProtection="1">
      <alignment horizontal="center"/>
      <protection/>
    </xf>
    <xf numFmtId="39" fontId="1" fillId="0" borderId="0" xfId="57" applyFont="1" applyFill="1" applyAlignment="1" applyProtection="1">
      <alignment horizontal="fill"/>
      <protection/>
    </xf>
    <xf numFmtId="39" fontId="1" fillId="0" borderId="0" xfId="57" applyFont="1" applyFill="1" applyAlignment="1" applyProtection="1">
      <alignment horizontal="left"/>
      <protection/>
    </xf>
    <xf numFmtId="0" fontId="1" fillId="0" borderId="0" xfId="57" applyNumberFormat="1" applyFont="1" applyFill="1" applyAlignment="1">
      <alignment horizontal="center"/>
      <protection/>
    </xf>
    <xf numFmtId="0" fontId="1" fillId="0" borderId="0" xfId="57" applyNumberFormat="1" applyFont="1" applyFill="1" applyAlignment="1" applyProtection="1">
      <alignment horizontal="center"/>
      <protection/>
    </xf>
    <xf numFmtId="169" fontId="1" fillId="0" borderId="0" xfId="57" applyNumberFormat="1" applyFont="1" applyFill="1" applyAlignment="1">
      <alignment horizontal="center"/>
      <protection/>
    </xf>
    <xf numFmtId="169" fontId="1" fillId="0" borderId="0" xfId="57" applyNumberFormat="1" applyFont="1" applyFill="1" applyAlignment="1" applyProtection="1">
      <alignment horizontal="center"/>
      <protection/>
    </xf>
    <xf numFmtId="169" fontId="1" fillId="0" borderId="0" xfId="57" applyNumberFormat="1" applyFont="1" applyFill="1">
      <alignment/>
      <protection/>
    </xf>
    <xf numFmtId="39" fontId="1" fillId="0" borderId="0" xfId="57" applyFont="1" applyFill="1" applyAlignment="1">
      <alignment horizontal="center"/>
      <protection/>
    </xf>
    <xf numFmtId="4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25" fillId="0" borderId="0" xfId="62" applyFont="1" applyFill="1" applyBorder="1" applyAlignment="1">
      <alignment horizontal="center"/>
      <protection/>
    </xf>
    <xf numFmtId="0" fontId="25" fillId="0" borderId="0" xfId="62" applyFont="1" applyFill="1" applyBorder="1" applyAlignment="1">
      <alignment horizontal="right" wrapText="1"/>
      <protection/>
    </xf>
    <xf numFmtId="175" fontId="3" fillId="0" borderId="0" xfId="42" applyNumberFormat="1" applyFont="1" applyFill="1" applyBorder="1" applyAlignment="1">
      <alignment horizontal="right"/>
    </xf>
    <xf numFmtId="37" fontId="4" fillId="0" borderId="0" xfId="0" applyNumberFormat="1" applyFont="1" applyFill="1" applyAlignment="1" applyProtection="1">
      <alignment horizontal="left"/>
      <protection/>
    </xf>
    <xf numFmtId="3" fontId="3" fillId="0" borderId="0" xfId="0" applyNumberFormat="1" applyFont="1" applyFill="1" applyAlignment="1" quotePrefix="1">
      <alignment horizontal="left" indent="1"/>
    </xf>
    <xf numFmtId="0" fontId="26" fillId="0" borderId="0" xfId="62" applyFont="1" applyFill="1" applyBorder="1" applyAlignment="1">
      <alignment/>
      <protection/>
    </xf>
    <xf numFmtId="0" fontId="1" fillId="0" borderId="0" xfId="0" applyFont="1" applyFill="1" applyAlignment="1">
      <alignment/>
    </xf>
    <xf numFmtId="0" fontId="38" fillId="0" borderId="0" xfId="0" applyFont="1" applyFill="1" applyAlignment="1" applyProtection="1">
      <alignment horizontal="left"/>
      <protection locked="0"/>
    </xf>
    <xf numFmtId="0" fontId="39" fillId="0" borderId="0" xfId="0" applyFont="1" applyFill="1" applyAlignment="1">
      <alignment/>
    </xf>
    <xf numFmtId="0" fontId="1" fillId="0" borderId="0" xfId="0" applyFont="1" applyFill="1" applyAlignment="1" applyProtection="1">
      <alignment horizontal="right"/>
      <protection/>
    </xf>
    <xf numFmtId="37" fontId="29" fillId="0" borderId="0" xfId="0" applyNumberFormat="1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fill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2" fontId="1" fillId="0" borderId="0" xfId="0" applyNumberFormat="1" applyFont="1" applyFill="1" applyAlignment="1" applyProtection="1">
      <alignment/>
      <protection/>
    </xf>
    <xf numFmtId="165" fontId="14" fillId="0" borderId="0" xfId="0" applyNumberFormat="1" applyFont="1" applyFill="1" applyAlignment="1" applyProtection="1">
      <alignment horizontal="center"/>
      <protection/>
    </xf>
    <xf numFmtId="39" fontId="4" fillId="0" borderId="0" xfId="0" applyNumberFormat="1" applyFont="1" applyFill="1" applyAlignment="1" applyProtection="1">
      <alignment horizontal="center"/>
      <protection/>
    </xf>
    <xf numFmtId="37" fontId="4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6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 locked="0"/>
    </xf>
    <xf numFmtId="37" fontId="3" fillId="0" borderId="10" xfId="0" applyNumberFormat="1" applyFont="1" applyFill="1" applyBorder="1" applyAlignment="1" applyProtection="1">
      <alignment horizontal="center"/>
      <protection/>
    </xf>
    <xf numFmtId="37" fontId="3" fillId="0" borderId="0" xfId="0" applyNumberFormat="1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 applyProtection="1">
      <alignment horizontal="center"/>
      <protection/>
    </xf>
    <xf numFmtId="165" fontId="31" fillId="0" borderId="0" xfId="58" applyNumberFormat="1" applyFont="1" applyFill="1" applyAlignment="1" applyProtection="1">
      <alignment horizontal="center"/>
      <protection/>
    </xf>
    <xf numFmtId="0" fontId="8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/>
    </xf>
    <xf numFmtId="37" fontId="34" fillId="0" borderId="0" xfId="0" applyNumberFormat="1" applyFont="1" applyFill="1" applyAlignment="1" applyProtection="1">
      <alignment horizontal="center"/>
      <protection/>
    </xf>
    <xf numFmtId="164" fontId="34" fillId="0" borderId="0" xfId="0" applyNumberFormat="1" applyFont="1" applyFill="1" applyAlignment="1" applyProtection="1">
      <alignment horizontal="center"/>
      <protection/>
    </xf>
    <xf numFmtId="39" fontId="34" fillId="0" borderId="0" xfId="0" applyNumberFormat="1" applyFont="1" applyFill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mt40" xfId="57"/>
    <cellStyle name="Normal_FMT40TMP" xfId="58"/>
    <cellStyle name="Normal_Format 100" xfId="59"/>
    <cellStyle name="Normal_Formats" xfId="60"/>
    <cellStyle name="Normal_Formats_1" xfId="61"/>
    <cellStyle name="Normal_NACUBO" xfId="62"/>
    <cellStyle name="Normal_NACUBO_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ox\Local%20Settings\Temporary%20Internet%20Files\OLK10\BDB%20FormatsUCD-09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CUBO"/>
      <sheetName val="FMT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4"/>
  <sheetViews>
    <sheetView tabSelected="1" view="pageBreakPreview" zoomScale="60" zoomScaleNormal="75" zoomScalePageLayoutView="0" workbookViewId="0" topLeftCell="A1">
      <selection activeCell="A1" sqref="A1"/>
    </sheetView>
  </sheetViews>
  <sheetFormatPr defaultColWidth="9.625" defaultRowHeight="12.75"/>
  <cols>
    <col min="1" max="1" width="4.625" style="0" customWidth="1"/>
    <col min="2" max="2" width="1.875" style="0" customWidth="1"/>
    <col min="3" max="3" width="33.00390625" style="0" customWidth="1"/>
    <col min="4" max="4" width="24.125" style="0" customWidth="1"/>
    <col min="5" max="5" width="8.125" style="0" customWidth="1"/>
    <col min="6" max="6" width="7.50390625" style="0" customWidth="1"/>
    <col min="7" max="7" width="10.625" style="264" customWidth="1"/>
    <col min="8" max="8" width="13.75390625" style="0" customWidth="1"/>
    <col min="9" max="9" width="11.625" style="264" customWidth="1"/>
    <col min="10" max="10" width="12.625" style="0" customWidth="1"/>
    <col min="11" max="11" width="8.875" style="0" customWidth="1"/>
    <col min="12" max="12" width="8.625" style="264" customWidth="1"/>
    <col min="13" max="13" width="15.25390625" style="0" bestFit="1" customWidth="1"/>
  </cols>
  <sheetData>
    <row r="1" spans="7:13" s="5" customFormat="1" ht="12">
      <c r="G1" s="93"/>
      <c r="I1" s="93"/>
      <c r="J1" s="17"/>
      <c r="L1" s="93"/>
      <c r="M1" s="17"/>
    </row>
    <row r="2" spans="7:13" s="5" customFormat="1" ht="12">
      <c r="G2" s="93"/>
      <c r="I2" s="93"/>
      <c r="J2" s="17"/>
      <c r="L2" s="93"/>
      <c r="M2" s="17"/>
    </row>
    <row r="3" spans="1:13" s="5" customFormat="1" ht="12">
      <c r="A3" s="41"/>
      <c r="C3" s="4"/>
      <c r="E3" s="41"/>
      <c r="F3" s="27"/>
      <c r="G3" s="46"/>
      <c r="H3" s="27"/>
      <c r="I3" s="46"/>
      <c r="J3" s="40"/>
      <c r="K3" s="27"/>
      <c r="L3" s="46"/>
      <c r="M3" s="40"/>
    </row>
    <row r="4" spans="1:13" s="5" customFormat="1" ht="12">
      <c r="A4" s="68"/>
      <c r="G4" s="93"/>
      <c r="I4" s="90"/>
      <c r="J4" s="17"/>
      <c r="L4" s="93"/>
      <c r="M4" s="69" t="s">
        <v>127</v>
      </c>
    </row>
    <row r="5" spans="1:13" s="5" customFormat="1" ht="12">
      <c r="A5" s="422" t="s">
        <v>126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</row>
    <row r="6" spans="1:13" s="5" customFormat="1" ht="12">
      <c r="A6" s="70" t="s">
        <v>600</v>
      </c>
      <c r="G6" s="93"/>
      <c r="I6" s="90"/>
      <c r="J6" s="17"/>
      <c r="K6" s="71"/>
      <c r="L6" s="90"/>
      <c r="M6" s="72" t="s">
        <v>346</v>
      </c>
    </row>
    <row r="7" spans="1:13" s="5" customFormat="1" ht="12">
      <c r="A7" s="15" t="s">
        <v>1</v>
      </c>
      <c r="B7" s="15" t="s">
        <v>1</v>
      </c>
      <c r="C7" s="15" t="s">
        <v>1</v>
      </c>
      <c r="D7" s="15" t="s">
        <v>1</v>
      </c>
      <c r="E7" s="15" t="s">
        <v>1</v>
      </c>
      <c r="F7" s="15" t="s">
        <v>1</v>
      </c>
      <c r="G7" s="260"/>
      <c r="H7" s="15"/>
      <c r="I7" s="19" t="s">
        <v>1</v>
      </c>
      <c r="J7" s="19" t="s">
        <v>1</v>
      </c>
      <c r="K7" s="15" t="s">
        <v>1</v>
      </c>
      <c r="L7" s="19" t="s">
        <v>1</v>
      </c>
      <c r="M7" s="19" t="s">
        <v>1</v>
      </c>
    </row>
    <row r="8" spans="1:13" s="5" customFormat="1" ht="12">
      <c r="A8" s="73" t="s">
        <v>2</v>
      </c>
      <c r="C8" s="4" t="s">
        <v>3</v>
      </c>
      <c r="E8" s="73" t="s">
        <v>2</v>
      </c>
      <c r="F8" s="1"/>
      <c r="G8" s="112"/>
      <c r="H8" s="1" t="s">
        <v>172</v>
      </c>
      <c r="I8" s="261"/>
      <c r="J8" s="3" t="s">
        <v>280</v>
      </c>
      <c r="K8" s="1"/>
      <c r="L8" s="261"/>
      <c r="M8" s="3" t="s">
        <v>289</v>
      </c>
    </row>
    <row r="9" spans="1:13" s="5" customFormat="1" ht="12">
      <c r="A9" s="73" t="s">
        <v>4</v>
      </c>
      <c r="C9" s="74" t="s">
        <v>5</v>
      </c>
      <c r="E9" s="73" t="s">
        <v>4</v>
      </c>
      <c r="F9" s="1"/>
      <c r="G9" s="112" t="s">
        <v>21</v>
      </c>
      <c r="H9" s="1" t="s">
        <v>7</v>
      </c>
      <c r="I9" s="261" t="s">
        <v>6</v>
      </c>
      <c r="J9" s="3" t="s">
        <v>7</v>
      </c>
      <c r="K9" s="1"/>
      <c r="L9" s="261" t="s">
        <v>6</v>
      </c>
      <c r="M9" s="3" t="s">
        <v>8</v>
      </c>
    </row>
    <row r="10" spans="1:13" s="5" customFormat="1" ht="12">
      <c r="A10" s="15" t="s">
        <v>1</v>
      </c>
      <c r="B10" s="15" t="s">
        <v>1</v>
      </c>
      <c r="C10" s="15" t="s">
        <v>1</v>
      </c>
      <c r="D10" s="15" t="s">
        <v>1</v>
      </c>
      <c r="E10" s="15" t="s">
        <v>1</v>
      </c>
      <c r="F10" s="15" t="s">
        <v>1</v>
      </c>
      <c r="G10" s="260"/>
      <c r="H10" s="15"/>
      <c r="I10" s="19" t="s">
        <v>1</v>
      </c>
      <c r="J10" s="19" t="s">
        <v>1</v>
      </c>
      <c r="K10" s="15" t="s">
        <v>1</v>
      </c>
      <c r="L10" s="19" t="s">
        <v>1</v>
      </c>
      <c r="M10" s="19" t="s">
        <v>1</v>
      </c>
    </row>
    <row r="11" spans="1:13" s="5" customFormat="1" ht="12">
      <c r="A11" s="41">
        <v>1</v>
      </c>
      <c r="C11" s="4" t="s">
        <v>9</v>
      </c>
      <c r="D11" s="14" t="s">
        <v>117</v>
      </c>
      <c r="E11" s="41">
        <v>1</v>
      </c>
      <c r="G11" s="112">
        <f>+UCB!G89+UCCS!G89+DDC!G89+HSC!G89+'System Administration'!G47</f>
        <v>3554.999999999999</v>
      </c>
      <c r="H11" s="259">
        <f>+UCB!H89+UCCS!H89+DDC!H89+HSC!H89+'System Administration'!H47</f>
        <v>317933174.57000005</v>
      </c>
      <c r="I11" s="112">
        <f>+UCB!I89+UCCS!I89+DDC!I89+HSC!I89+'System Administration'!I47</f>
        <v>3668.7339225707374</v>
      </c>
      <c r="J11" s="259">
        <f>+UCB!J89+UCCS!J89+DDC!J89+HSC!J89+'System Administration'!J47</f>
        <v>344763261.2</v>
      </c>
      <c r="K11" s="43"/>
      <c r="L11" s="112">
        <f>+UCB!L89+UCCS!L89+DDC!L89+HSC!L89+'System Administration'!L47</f>
        <v>3724.58</v>
      </c>
      <c r="M11" s="259">
        <f>+UCB!M89+UCCS!M89+DDC!M89+HSC!M89+'System Administration'!M47</f>
        <v>378241960</v>
      </c>
    </row>
    <row r="12" spans="1:13" s="5" customFormat="1" ht="12">
      <c r="A12" s="41">
        <v>2</v>
      </c>
      <c r="C12" s="4" t="s">
        <v>10</v>
      </c>
      <c r="D12" s="14" t="s">
        <v>118</v>
      </c>
      <c r="E12" s="41">
        <v>2</v>
      </c>
      <c r="G12" s="112">
        <f>+UCB!G90+UCCS!G90+DDC!G90+HSC!G90+'System Administration'!G48</f>
        <v>54.79</v>
      </c>
      <c r="H12" s="259">
        <f>+UCB!H90+UCCS!H90+DDC!H90+HSC!H90+'System Administration'!H48</f>
        <v>7090922.47</v>
      </c>
      <c r="I12" s="112">
        <f>+UCB!I90+UCCS!I90+DDC!I90+HSC!I90+'System Administration'!I48</f>
        <v>50.345237237029075</v>
      </c>
      <c r="J12" s="259">
        <f>+UCB!J90+UCCS!J90+DDC!J90+HSC!J90+'System Administration'!J48</f>
        <v>8015778.05</v>
      </c>
      <c r="K12" s="43"/>
      <c r="L12" s="112">
        <f>+UCB!L90+UCCS!L90+DDC!L90+HSC!L90+'System Administration'!L48</f>
        <v>49.71999999999999</v>
      </c>
      <c r="M12" s="259">
        <f>+UCB!M90+UCCS!M90+DDC!M90+HSC!M90+'System Administration'!M48</f>
        <v>8343936</v>
      </c>
    </row>
    <row r="13" spans="1:13" s="5" customFormat="1" ht="12">
      <c r="A13" s="41">
        <v>3</v>
      </c>
      <c r="C13" s="4" t="s">
        <v>11</v>
      </c>
      <c r="D13" s="14" t="s">
        <v>119</v>
      </c>
      <c r="E13" s="41">
        <v>3</v>
      </c>
      <c r="G13" s="112">
        <f>+UCB!G91+UCCS!G91+DDC!G91+HSC!G91+'System Administration'!G49</f>
        <v>10.32</v>
      </c>
      <c r="H13" s="259">
        <f>+UCB!H91+UCCS!H91+DDC!H91+HSC!H91+'System Administration'!H49</f>
        <v>1047470.62</v>
      </c>
      <c r="I13" s="112">
        <f>+UCB!I91+UCCS!I91+DDC!I91+HSC!I91+'System Administration'!I49</f>
        <v>11.143920040231329</v>
      </c>
      <c r="J13" s="259">
        <f>+UCB!J91+UCCS!J91+DDC!J91+HSC!J91+'System Administration'!J49</f>
        <v>1148504.8800000001</v>
      </c>
      <c r="K13" s="43"/>
      <c r="L13" s="112">
        <f>+UCB!L91+UCCS!L91+DDC!L91+HSC!L91+'System Administration'!L49</f>
        <v>10.069999999999999</v>
      </c>
      <c r="M13" s="259">
        <f>+UCB!M91+UCCS!M91+DDC!M91+HSC!M91+'System Administration'!M49</f>
        <v>909303</v>
      </c>
    </row>
    <row r="14" spans="1:13" s="5" customFormat="1" ht="12">
      <c r="A14" s="41">
        <v>4</v>
      </c>
      <c r="C14" s="4" t="s">
        <v>12</v>
      </c>
      <c r="D14" s="14" t="s">
        <v>120</v>
      </c>
      <c r="E14" s="41">
        <v>4</v>
      </c>
      <c r="G14" s="112">
        <f>+UCB!G92+UCCS!G92+DDC!G92+HSC!G92+'System Administration'!G50</f>
        <v>906.8399999999999</v>
      </c>
      <c r="H14" s="259">
        <f>+UCB!H92+UCCS!H92+DDC!H92+HSC!H92+'System Administration'!H50</f>
        <v>84483094.27</v>
      </c>
      <c r="I14" s="112">
        <f>+UCB!I92+UCCS!I92+DDC!I92+HSC!I92+'System Administration'!I50</f>
        <v>921.5034874079845</v>
      </c>
      <c r="J14" s="259">
        <f>+UCB!J92+UCCS!J92+DDC!J92+HSC!J92+'System Administration'!J50</f>
        <v>88261383.72</v>
      </c>
      <c r="K14" s="43"/>
      <c r="L14" s="112">
        <f>+UCB!L92+UCCS!L92+DDC!L92+HSC!L92+'System Administration'!L50</f>
        <v>921.75</v>
      </c>
      <c r="M14" s="259">
        <f>+UCB!M92+UCCS!M92+DDC!M92+HSC!M92+'System Administration'!M50</f>
        <v>97150375</v>
      </c>
    </row>
    <row r="15" spans="1:13" s="5" customFormat="1" ht="12">
      <c r="A15" s="41">
        <v>5</v>
      </c>
      <c r="C15" s="4" t="s">
        <v>13</v>
      </c>
      <c r="D15" s="14" t="s">
        <v>121</v>
      </c>
      <c r="E15" s="41">
        <v>5</v>
      </c>
      <c r="G15" s="112">
        <f>+UCB!G93+UCCS!G93+DDC!G93+HSC!G93+'System Administration'!G51</f>
        <v>357.42</v>
      </c>
      <c r="H15" s="259">
        <f>+UCB!H93+UCCS!H93+DDC!H93+HSC!H93+'System Administration'!H51</f>
        <v>28477745.939999998</v>
      </c>
      <c r="I15" s="112">
        <f>+UCB!I93+UCCS!I93+DDC!I93+HSC!I93+'System Administration'!I51</f>
        <v>358.38800273166305</v>
      </c>
      <c r="J15" s="259">
        <f>+UCB!J93+UCCS!J93+DDC!J93+HSC!J93+'System Administration'!J51</f>
        <v>29757939.810000002</v>
      </c>
      <c r="K15" s="43"/>
      <c r="L15" s="112">
        <f>+UCB!L93+UCCS!L93+DDC!L93+HSC!L93+'System Administration'!L51</f>
        <v>372.2</v>
      </c>
      <c r="M15" s="259">
        <f>+UCB!M93+UCCS!M93+DDC!M93+HSC!M93+'System Administration'!M51</f>
        <v>32486482</v>
      </c>
    </row>
    <row r="16" spans="1:13" s="5" customFormat="1" ht="12">
      <c r="A16" s="41">
        <v>6</v>
      </c>
      <c r="C16" s="4" t="s">
        <v>14</v>
      </c>
      <c r="D16" s="14" t="s">
        <v>122</v>
      </c>
      <c r="E16" s="41">
        <v>6</v>
      </c>
      <c r="G16" s="112">
        <f>+UCB!G94+UCCS!G94+DDC!G94+HSC!G94+'System Administration'!G52</f>
        <v>733.1</v>
      </c>
      <c r="H16" s="259">
        <f>+UCB!H94+UCCS!H94+DDC!H94+HSC!H94+'System Administration'!H52</f>
        <v>66485589.879999995</v>
      </c>
      <c r="I16" s="112">
        <f>+UCB!I94+UCCS!I94+DDC!I94+HSC!I94+'System Administration'!I52</f>
        <v>731.7380219436983</v>
      </c>
      <c r="J16" s="259">
        <f>+UCB!J94+UCCS!J94+DDC!J94+HSC!J94+'System Administration'!J52</f>
        <v>70213930.14</v>
      </c>
      <c r="K16" s="43"/>
      <c r="L16" s="112">
        <f>+UCB!L94+UCCS!L94+DDC!L94+HSC!L94+'System Administration'!L52</f>
        <v>744.8000000000001</v>
      </c>
      <c r="M16" s="259">
        <f>+UCB!M94+UCCS!M94+DDC!M94+HSC!M94+'System Administration'!M52</f>
        <v>77005477</v>
      </c>
    </row>
    <row r="17" spans="1:13" s="5" customFormat="1" ht="12">
      <c r="A17" s="41">
        <v>7</v>
      </c>
      <c r="C17" s="4" t="s">
        <v>59</v>
      </c>
      <c r="D17" s="14" t="s">
        <v>123</v>
      </c>
      <c r="E17" s="41">
        <v>7</v>
      </c>
      <c r="G17" s="112">
        <f>+UCB!G95+UCCS!G95+DDC!G95+HSC!G95+'System Administration'!G53</f>
        <v>679.46</v>
      </c>
      <c r="H17" s="259">
        <f>+UCB!H95+UCCS!H95+DDC!H95+HSC!H95+'System Administration'!H53</f>
        <v>82257029.42000002</v>
      </c>
      <c r="I17" s="112">
        <f>+UCB!I95+UCCS!I95+DDC!I95+HSC!I95+'System Administration'!I53</f>
        <v>696.2308568796344</v>
      </c>
      <c r="J17" s="259">
        <f>+UCB!J95+UCCS!J95+DDC!J95+HSC!J95+'System Administration'!J53</f>
        <v>81935672.6</v>
      </c>
      <c r="K17" s="43"/>
      <c r="L17" s="112">
        <f>+UCB!L95+UCCS!L95+DDC!L95+HSC!L95+'System Administration'!L53</f>
        <v>684.52</v>
      </c>
      <c r="M17" s="259">
        <f>+UCB!M95+UCCS!M95+DDC!M95+HSC!M95+'System Administration'!M53</f>
        <v>91448236</v>
      </c>
    </row>
    <row r="18" spans="1:13" s="5" customFormat="1" ht="12">
      <c r="A18" s="41">
        <v>8</v>
      </c>
      <c r="C18" s="4" t="s">
        <v>15</v>
      </c>
      <c r="D18" s="14" t="s">
        <v>124</v>
      </c>
      <c r="E18" s="41">
        <v>8</v>
      </c>
      <c r="G18" s="112">
        <f>+UCB!G96+UCCS!G96+DDC!G96+HSC!G96+'System Administration'!G54</f>
        <v>0</v>
      </c>
      <c r="H18" s="259">
        <f>+UCB!H96+UCCS!H96+DDC!H96+HSC!H96+'System Administration'!H54</f>
        <v>36475320</v>
      </c>
      <c r="I18" s="112">
        <f>+UCB!I96+UCCS!I96+DDC!I96+HSC!I96+'System Administration'!I54</f>
        <v>0</v>
      </c>
      <c r="J18" s="259">
        <f>+UCB!J96+UCCS!J96+DDC!J96+HSC!J96+'System Administration'!J54</f>
        <v>33216315.54</v>
      </c>
      <c r="K18" s="43"/>
      <c r="L18" s="112">
        <f>+UCB!L96+UCCS!L96+DDC!L96+HSC!L96+'System Administration'!L54</f>
        <v>0</v>
      </c>
      <c r="M18" s="259">
        <f>+UCB!M96+UCCS!M96+DDC!M96+HSC!M96+'System Administration'!M54</f>
        <v>41791080</v>
      </c>
    </row>
    <row r="19" spans="1:13" s="5" customFormat="1" ht="12">
      <c r="A19" s="41">
        <v>9</v>
      </c>
      <c r="C19" s="4" t="s">
        <v>101</v>
      </c>
      <c r="D19" s="14" t="s">
        <v>125</v>
      </c>
      <c r="E19" s="41">
        <v>9</v>
      </c>
      <c r="G19" s="112">
        <f>+UCB!G97+UCCS!G97+DDC!G97+HSC!G97+'System Administration'!G55</f>
        <v>0</v>
      </c>
      <c r="H19" s="259">
        <f>+UCB!H97+UCCS!H97+DDC!H97+HSC!H97+'System Administration'!H55</f>
        <v>-20</v>
      </c>
      <c r="I19" s="112">
        <f>+UCB!I97+UCCS!I97+DDC!I97+HSC!I97+'System Administration'!I55</f>
        <v>0</v>
      </c>
      <c r="J19" s="259">
        <f>+UCB!J97+UCCS!J97+DDC!J97+HSC!J97+'System Administration'!J55</f>
        <v>795</v>
      </c>
      <c r="K19" s="43"/>
      <c r="L19" s="112">
        <f>+UCB!L97+UCCS!L97+DDC!L97+HSC!L97+'System Administration'!L55</f>
        <v>0</v>
      </c>
      <c r="M19" s="259">
        <f>+UCB!M97+UCCS!M97+DDC!M97+HSC!M97+'System Administration'!M55</f>
        <v>0</v>
      </c>
    </row>
    <row r="20" spans="1:13" s="5" customFormat="1" ht="12">
      <c r="A20" s="41">
        <v>10</v>
      </c>
      <c r="C20" s="4" t="s">
        <v>16</v>
      </c>
      <c r="D20" s="14" t="s">
        <v>100</v>
      </c>
      <c r="E20" s="41">
        <v>10</v>
      </c>
      <c r="G20" s="112">
        <f>+UCB!G98+UCCS!G98+DDC!G98+HSC!G98+'System Administration'!G56</f>
        <v>0</v>
      </c>
      <c r="H20" s="259">
        <f>+UCB!H98+UCCS!H98+DDC!H98+HSC!H98+'System Administration'!H56</f>
        <v>114014349.72</v>
      </c>
      <c r="I20" s="112">
        <f>+UCB!I98+UCCS!I98+DDC!I98+HSC!I98+'System Administration'!I56</f>
        <v>0</v>
      </c>
      <c r="J20" s="259">
        <f>+UCB!J98+UCCS!J98+DDC!J98+HSC!J98+'System Administration'!J56</f>
        <v>130507768.11000001</v>
      </c>
      <c r="K20" s="43"/>
      <c r="L20" s="112">
        <f>+UCB!L98+UCCS!L98+DDC!L98+HSC!L98+'System Administration'!L56</f>
        <v>0</v>
      </c>
      <c r="M20" s="259">
        <f>+UCB!M98+UCCS!M98+DDC!M98+HSC!M98+'System Administration'!M56</f>
        <v>100058960.5</v>
      </c>
    </row>
    <row r="21" spans="1:13" s="5" customFormat="1" ht="12">
      <c r="A21" s="41"/>
      <c r="C21" s="4"/>
      <c r="D21" s="14"/>
      <c r="E21" s="41"/>
      <c r="F21" s="15" t="s">
        <v>1</v>
      </c>
      <c r="G21" s="260"/>
      <c r="H21" s="15"/>
      <c r="I21" s="19" t="s">
        <v>1</v>
      </c>
      <c r="J21" s="19"/>
      <c r="K21" s="19"/>
      <c r="L21" s="19"/>
      <c r="M21" s="19"/>
    </row>
    <row r="22" spans="1:13" s="5" customFormat="1" ht="12">
      <c r="A22" s="5">
        <v>11</v>
      </c>
      <c r="C22" s="4" t="s">
        <v>265</v>
      </c>
      <c r="E22" s="5">
        <v>11</v>
      </c>
      <c r="G22" s="112">
        <f>SUM(G11:G20)</f>
        <v>6296.929999999999</v>
      </c>
      <c r="H22" s="259">
        <f>SUM(H11:H20)</f>
        <v>738264676.8900001</v>
      </c>
      <c r="I22" s="261">
        <f>SUM(I11:I20)</f>
        <v>6438.083448810978</v>
      </c>
      <c r="J22" s="259">
        <f>SUM(J11:J20)</f>
        <v>787821349.0500001</v>
      </c>
      <c r="K22" s="43"/>
      <c r="L22" s="261">
        <f>SUM(L11:L20)</f>
        <v>6507.639999999999</v>
      </c>
      <c r="M22" s="259">
        <f>SUM(M11:M20)</f>
        <v>827435809.5</v>
      </c>
    </row>
    <row r="23" spans="1:13" s="5" customFormat="1" ht="12">
      <c r="A23" s="41"/>
      <c r="E23" s="41"/>
      <c r="F23" s="15" t="s">
        <v>1</v>
      </c>
      <c r="G23" s="260"/>
      <c r="H23" s="15"/>
      <c r="I23" s="15" t="s">
        <v>1</v>
      </c>
      <c r="J23" s="15"/>
      <c r="K23" s="15"/>
      <c r="L23" s="15"/>
      <c r="M23" s="15"/>
    </row>
    <row r="24" spans="1:13" s="5" customFormat="1" ht="12">
      <c r="A24" s="41"/>
      <c r="E24" s="41"/>
      <c r="F24" s="15"/>
      <c r="G24" s="260"/>
      <c r="H24" s="15"/>
      <c r="I24" s="90"/>
      <c r="J24" s="19"/>
      <c r="K24" s="18"/>
      <c r="L24" s="90"/>
      <c r="M24" s="19"/>
    </row>
    <row r="25" spans="1:13" s="5" customFormat="1" ht="12">
      <c r="A25" s="5">
        <v>12</v>
      </c>
      <c r="C25" s="4" t="s">
        <v>17</v>
      </c>
      <c r="E25" s="5">
        <v>12</v>
      </c>
      <c r="G25" s="112"/>
      <c r="H25" s="43"/>
      <c r="I25" s="261"/>
      <c r="J25" s="63"/>
      <c r="K25" s="43"/>
      <c r="L25" s="261"/>
      <c r="M25" s="63"/>
    </row>
    <row r="26" spans="1:13" s="5" customFormat="1" ht="12">
      <c r="A26" s="41">
        <v>13</v>
      </c>
      <c r="C26" s="4" t="s">
        <v>226</v>
      </c>
      <c r="D26" s="14" t="s">
        <v>261</v>
      </c>
      <c r="E26" s="41">
        <v>13</v>
      </c>
      <c r="G26" s="112">
        <f>+UCB!G104+UCCS!G104+DDC!G104+HSC!G104+'System Administration'!G62</f>
        <v>0</v>
      </c>
      <c r="H26" s="259">
        <f>+UCB!H104+UCCS!H104+DDC!H104+HSC!H104+'System Administration'!H62</f>
        <v>63396000</v>
      </c>
      <c r="I26" s="112">
        <f>+UCB!I104+UCCS!I104+DDC!I104+HSC!I104+'System Administration'!I62</f>
        <v>0</v>
      </c>
      <c r="J26" s="259">
        <f>+UCB!J104+UCCS!J104+DDC!J104+HSC!J104+'System Administration'!J62</f>
        <v>70053572</v>
      </c>
      <c r="K26" s="43"/>
      <c r="L26" s="112">
        <f>+UCB!L104+UCCS!L104+DDC!L104+HSC!L104+'System Administration'!L62</f>
        <v>0</v>
      </c>
      <c r="M26" s="259">
        <f>+UCB!M104+UCCS!M104+DDC!M104+HSC!M104+'System Administration'!M62</f>
        <v>80444899</v>
      </c>
    </row>
    <row r="27" spans="1:15" s="5" customFormat="1" ht="12">
      <c r="A27" s="41">
        <v>14</v>
      </c>
      <c r="C27" s="4" t="s">
        <v>227</v>
      </c>
      <c r="D27" s="14" t="s">
        <v>262</v>
      </c>
      <c r="E27" s="41">
        <v>14</v>
      </c>
      <c r="G27" s="112">
        <f>+UCB!G105+UCCS!G105+DDC!G105+HSC!G105+'System Administration'!G63</f>
        <v>0</v>
      </c>
      <c r="H27" s="259">
        <f>+UCB!H105+UCCS!H105+DDC!H105+HSC!H105+'System Administration'!H63</f>
        <v>95707982.61</v>
      </c>
      <c r="I27" s="112">
        <f>+UCB!I105+UCCS!I105+DDC!I105+HSC!I105+'System Administration'!I63</f>
        <v>0</v>
      </c>
      <c r="J27" s="259">
        <f>+UCB!J105+UCCS!J105+DDC!J105+HSC!J105+'System Administration'!J63</f>
        <v>108782114</v>
      </c>
      <c r="K27" s="43"/>
      <c r="L27" s="112">
        <f>+UCB!L105+UCCS!L105+DDC!L105+HSC!L105+'System Administration'!L63</f>
        <v>0</v>
      </c>
      <c r="M27" s="259">
        <f>+UCB!M105+UCCS!M105+DDC!M105+HSC!M105+'System Administration'!M63</f>
        <v>121911110</v>
      </c>
      <c r="O27" s="351"/>
    </row>
    <row r="28" spans="1:14" s="5" customFormat="1" ht="12">
      <c r="A28" s="41">
        <v>15</v>
      </c>
      <c r="C28" s="4" t="s">
        <v>256</v>
      </c>
      <c r="D28" s="14"/>
      <c r="E28" s="41">
        <v>15</v>
      </c>
      <c r="G28" s="112">
        <f>+UCB!G106+UCCS!G106+DDC!G106+HSC!G106+'System Administration'!G64</f>
        <v>0</v>
      </c>
      <c r="H28" s="259">
        <f>+UCB!H106+UCCS!H106+DDC!H106+HSC!H106+'System Administration'!H64</f>
        <v>63396000</v>
      </c>
      <c r="I28" s="112">
        <f>+UCB!I106+UCCS!I106+DDC!I106+HSC!I106+'System Administration'!I64</f>
        <v>0</v>
      </c>
      <c r="J28" s="259">
        <f>+UCB!J106+UCCS!J106+DDC!J106+HSC!J106+'System Administration'!J64</f>
        <v>70053572</v>
      </c>
      <c r="K28" s="43"/>
      <c r="L28" s="112">
        <f>+UCB!L106+UCCS!L106+DDC!L106+HSC!L106+'System Administration'!L64</f>
        <v>0</v>
      </c>
      <c r="M28" s="259">
        <f>+UCB!M106+UCCS!M106+DDC!M106+HSC!M106+'System Administration'!M64</f>
        <v>73075231</v>
      </c>
      <c r="N28" s="351"/>
    </row>
    <row r="29" spans="1:13" s="5" customFormat="1" ht="12">
      <c r="A29" s="41">
        <v>16</v>
      </c>
      <c r="C29" s="4" t="s">
        <v>255</v>
      </c>
      <c r="D29" s="14"/>
      <c r="E29" s="41">
        <v>16</v>
      </c>
      <c r="G29" s="112">
        <f>+UCB!G107+UCCS!G107+DDC!G107+HSC!G107+'System Administration'!G65</f>
        <v>11012.099999999999</v>
      </c>
      <c r="H29" s="259">
        <f>+UCB!H107+UCCS!H107+DDC!H107+HSC!H107+'System Administration'!H65</f>
        <v>147013005.26</v>
      </c>
      <c r="I29" s="112">
        <f>+UCB!I107+UCCS!I107+DDC!I107+HSC!I107+'System Administration'!I65</f>
        <v>11259.359999999999</v>
      </c>
      <c r="J29" s="259">
        <f>+UCB!J107+UCCS!J107+DDC!J107+HSC!J107+'System Administration'!J65</f>
        <v>152586607.98</v>
      </c>
      <c r="K29" s="43"/>
      <c r="L29" s="112">
        <f>+UCB!L107+UCCS!L107+DDC!L107+HSC!L107+'System Administration'!L65</f>
        <v>11454.74</v>
      </c>
      <c r="M29" s="259">
        <f>+UCB!M107+UCCS!M107+DDC!M107+HSC!M107+'System Administration'!M65</f>
        <v>169845718</v>
      </c>
    </row>
    <row r="30" spans="1:255" s="5" customFormat="1" ht="12">
      <c r="A30" s="14">
        <v>17</v>
      </c>
      <c r="B30" s="14"/>
      <c r="C30" s="75" t="s">
        <v>257</v>
      </c>
      <c r="D30" s="14"/>
      <c r="E30" s="14">
        <v>17</v>
      </c>
      <c r="F30" s="14"/>
      <c r="G30" s="112">
        <f>+UCB!G108+UCCS!G108+DDC!G108+HSC!G108+'System Administration'!G66</f>
        <v>11012.099999999999</v>
      </c>
      <c r="H30" s="259">
        <f>+UCB!H108+UCCS!H108+DDC!H108+HSC!H108+'System Administration'!H66</f>
        <v>210409005.26</v>
      </c>
      <c r="I30" s="112">
        <f>+UCB!I108+UCCS!I108+DDC!I108+HSC!I108+'System Administration'!I66</f>
        <v>11259.359999999999</v>
      </c>
      <c r="J30" s="259">
        <f>+UCB!J108+UCCS!J108+DDC!J108+HSC!J108+'System Administration'!J66</f>
        <v>222640179.98</v>
      </c>
      <c r="K30" s="43"/>
      <c r="L30" s="112">
        <f>+UCB!L108+UCCS!L108+DDC!L108+HSC!L108+'System Administration'!L66</f>
        <v>11454.74</v>
      </c>
      <c r="M30" s="259">
        <f>+UCB!M108+UCCS!M108+DDC!M108+HSC!M108+'System Administration'!M66</f>
        <v>242920949</v>
      </c>
      <c r="N30" s="75"/>
      <c r="O30" s="14"/>
      <c r="P30" s="75"/>
      <c r="Q30" s="14"/>
      <c r="R30" s="75"/>
      <c r="S30" s="14"/>
      <c r="T30" s="75"/>
      <c r="U30" s="14"/>
      <c r="V30" s="75"/>
      <c r="W30" s="14"/>
      <c r="X30" s="75"/>
      <c r="Y30" s="14"/>
      <c r="Z30" s="75"/>
      <c r="AA30" s="14"/>
      <c r="AB30" s="75"/>
      <c r="AC30" s="14"/>
      <c r="AD30" s="75"/>
      <c r="AE30" s="14"/>
      <c r="AF30" s="75"/>
      <c r="AG30" s="14"/>
      <c r="AH30" s="75"/>
      <c r="AI30" s="14"/>
      <c r="AJ30" s="75"/>
      <c r="AK30" s="14"/>
      <c r="AL30" s="75"/>
      <c r="AM30" s="14"/>
      <c r="AN30" s="75"/>
      <c r="AO30" s="14"/>
      <c r="AP30" s="75"/>
      <c r="AQ30" s="14"/>
      <c r="AR30" s="75"/>
      <c r="AS30" s="14"/>
      <c r="AT30" s="75"/>
      <c r="AU30" s="14"/>
      <c r="AV30" s="75"/>
      <c r="AW30" s="14"/>
      <c r="AX30" s="75"/>
      <c r="AY30" s="14"/>
      <c r="AZ30" s="75"/>
      <c r="BA30" s="14"/>
      <c r="BB30" s="75"/>
      <c r="BC30" s="14"/>
      <c r="BD30" s="75"/>
      <c r="BE30" s="14"/>
      <c r="BF30" s="75"/>
      <c r="BG30" s="14"/>
      <c r="BH30" s="75"/>
      <c r="BI30" s="14"/>
      <c r="BJ30" s="75"/>
      <c r="BK30" s="14"/>
      <c r="BL30" s="75"/>
      <c r="BM30" s="14"/>
      <c r="BN30" s="75"/>
      <c r="BO30" s="14"/>
      <c r="BP30" s="75"/>
      <c r="BQ30" s="14"/>
      <c r="BR30" s="75"/>
      <c r="BS30" s="14"/>
      <c r="BT30" s="75"/>
      <c r="BU30" s="14"/>
      <c r="BV30" s="75"/>
      <c r="BW30" s="14"/>
      <c r="BX30" s="75"/>
      <c r="BY30" s="14"/>
      <c r="BZ30" s="75"/>
      <c r="CA30" s="14"/>
      <c r="CB30" s="75"/>
      <c r="CC30" s="14"/>
      <c r="CD30" s="75"/>
      <c r="CE30" s="14"/>
      <c r="CF30" s="75"/>
      <c r="CG30" s="14"/>
      <c r="CH30" s="75"/>
      <c r="CI30" s="14"/>
      <c r="CJ30" s="75"/>
      <c r="CK30" s="14"/>
      <c r="CL30" s="75"/>
      <c r="CM30" s="14"/>
      <c r="CN30" s="75"/>
      <c r="CO30" s="14"/>
      <c r="CP30" s="75"/>
      <c r="CQ30" s="14"/>
      <c r="CR30" s="75"/>
      <c r="CS30" s="14"/>
      <c r="CT30" s="75"/>
      <c r="CU30" s="14"/>
      <c r="CV30" s="75"/>
      <c r="CW30" s="14"/>
      <c r="CX30" s="75"/>
      <c r="CY30" s="14"/>
      <c r="CZ30" s="75"/>
      <c r="DA30" s="14"/>
      <c r="DB30" s="75"/>
      <c r="DC30" s="14"/>
      <c r="DD30" s="75"/>
      <c r="DE30" s="14"/>
      <c r="DF30" s="75"/>
      <c r="DG30" s="14"/>
      <c r="DH30" s="75"/>
      <c r="DI30" s="14"/>
      <c r="DJ30" s="75"/>
      <c r="DK30" s="14"/>
      <c r="DL30" s="75"/>
      <c r="DM30" s="14"/>
      <c r="DN30" s="75"/>
      <c r="DO30" s="14"/>
      <c r="DP30" s="75"/>
      <c r="DQ30" s="14"/>
      <c r="DR30" s="75"/>
      <c r="DS30" s="14"/>
      <c r="DT30" s="75"/>
      <c r="DU30" s="14"/>
      <c r="DV30" s="75"/>
      <c r="DW30" s="14"/>
      <c r="DX30" s="75"/>
      <c r="DY30" s="14"/>
      <c r="DZ30" s="75"/>
      <c r="EA30" s="14"/>
      <c r="EB30" s="75"/>
      <c r="EC30" s="14"/>
      <c r="ED30" s="75"/>
      <c r="EE30" s="14"/>
      <c r="EF30" s="75"/>
      <c r="EG30" s="14"/>
      <c r="EH30" s="75"/>
      <c r="EI30" s="14"/>
      <c r="EJ30" s="75"/>
      <c r="EK30" s="14"/>
      <c r="EL30" s="75"/>
      <c r="EM30" s="14"/>
      <c r="EN30" s="75"/>
      <c r="EO30" s="14"/>
      <c r="EP30" s="75"/>
      <c r="EQ30" s="14"/>
      <c r="ER30" s="75"/>
      <c r="ES30" s="14"/>
      <c r="ET30" s="75"/>
      <c r="EU30" s="14"/>
      <c r="EV30" s="75"/>
      <c r="EW30" s="14"/>
      <c r="EX30" s="75"/>
      <c r="EY30" s="14"/>
      <c r="EZ30" s="75"/>
      <c r="FA30" s="14"/>
      <c r="FB30" s="75"/>
      <c r="FC30" s="14"/>
      <c r="FD30" s="75"/>
      <c r="FE30" s="14"/>
      <c r="FF30" s="75"/>
      <c r="FG30" s="14"/>
      <c r="FH30" s="75"/>
      <c r="FI30" s="14"/>
      <c r="FJ30" s="75"/>
      <c r="FK30" s="14"/>
      <c r="FL30" s="75"/>
      <c r="FM30" s="14"/>
      <c r="FN30" s="75"/>
      <c r="FO30" s="14"/>
      <c r="FP30" s="75"/>
      <c r="FQ30" s="14"/>
      <c r="FR30" s="75"/>
      <c r="FS30" s="14"/>
      <c r="FT30" s="75"/>
      <c r="FU30" s="14"/>
      <c r="FV30" s="75"/>
      <c r="FW30" s="14"/>
      <c r="FX30" s="75"/>
      <c r="FY30" s="14"/>
      <c r="FZ30" s="75"/>
      <c r="GA30" s="14"/>
      <c r="GB30" s="75"/>
      <c r="GC30" s="14"/>
      <c r="GD30" s="75"/>
      <c r="GE30" s="14"/>
      <c r="GF30" s="75"/>
      <c r="GG30" s="14"/>
      <c r="GH30" s="75"/>
      <c r="GI30" s="14"/>
      <c r="GJ30" s="75"/>
      <c r="GK30" s="14"/>
      <c r="GL30" s="75"/>
      <c r="GM30" s="14"/>
      <c r="GN30" s="75"/>
      <c r="GO30" s="14"/>
      <c r="GP30" s="75"/>
      <c r="GQ30" s="14"/>
      <c r="GR30" s="75"/>
      <c r="GS30" s="14"/>
      <c r="GT30" s="75"/>
      <c r="GU30" s="14"/>
      <c r="GV30" s="75"/>
      <c r="GW30" s="14"/>
      <c r="GX30" s="75"/>
      <c r="GY30" s="14"/>
      <c r="GZ30" s="75"/>
      <c r="HA30" s="14"/>
      <c r="HB30" s="75"/>
      <c r="HC30" s="14"/>
      <c r="HD30" s="75"/>
      <c r="HE30" s="14"/>
      <c r="HF30" s="75"/>
      <c r="HG30" s="14"/>
      <c r="HH30" s="75"/>
      <c r="HI30" s="14"/>
      <c r="HJ30" s="75"/>
      <c r="HK30" s="14"/>
      <c r="HL30" s="75"/>
      <c r="HM30" s="14"/>
      <c r="HN30" s="75"/>
      <c r="HO30" s="14"/>
      <c r="HP30" s="75"/>
      <c r="HQ30" s="14"/>
      <c r="HR30" s="75"/>
      <c r="HS30" s="14"/>
      <c r="HT30" s="75"/>
      <c r="HU30" s="14"/>
      <c r="HV30" s="75"/>
      <c r="HW30" s="14"/>
      <c r="HX30" s="75"/>
      <c r="HY30" s="14"/>
      <c r="HZ30" s="75"/>
      <c r="IA30" s="14"/>
      <c r="IB30" s="75"/>
      <c r="IC30" s="14"/>
      <c r="ID30" s="75"/>
      <c r="IE30" s="14"/>
      <c r="IF30" s="75"/>
      <c r="IG30" s="14"/>
      <c r="IH30" s="75"/>
      <c r="II30" s="14"/>
      <c r="IJ30" s="75"/>
      <c r="IK30" s="14"/>
      <c r="IL30" s="75"/>
      <c r="IM30" s="14"/>
      <c r="IN30" s="75"/>
      <c r="IO30" s="14"/>
      <c r="IP30" s="75"/>
      <c r="IQ30" s="14"/>
      <c r="IR30" s="75"/>
      <c r="IS30" s="14"/>
      <c r="IT30" s="75"/>
      <c r="IU30" s="14"/>
    </row>
    <row r="31" spans="1:13" s="5" customFormat="1" ht="12">
      <c r="A31" s="41">
        <v>18</v>
      </c>
      <c r="C31" s="4" t="s">
        <v>258</v>
      </c>
      <c r="D31" s="14"/>
      <c r="E31" s="41">
        <v>18</v>
      </c>
      <c r="G31" s="112">
        <f>+UCB!G109+UCCS!G109+DDC!G109+HSC!G109+'System Administration'!G67</f>
        <v>2866.5999999999995</v>
      </c>
      <c r="H31" s="259">
        <f>+UCB!H109+UCCS!H109+DDC!H109+HSC!H109+'System Administration'!H67</f>
        <v>68958318.28</v>
      </c>
      <c r="I31" s="112">
        <f>+UCB!I109+UCCS!I109+DDC!I109+HSC!I109+'System Administration'!I67</f>
        <v>2761.56</v>
      </c>
      <c r="J31" s="259">
        <f>+UCB!J109+UCCS!J109+DDC!J109+HSC!J109+'System Administration'!J67</f>
        <v>74848306.95</v>
      </c>
      <c r="K31" s="43"/>
      <c r="L31" s="112">
        <f>+UCB!L109+UCCS!L109+DDC!L109+HSC!L109+'System Administration'!L67</f>
        <v>2744.12</v>
      </c>
      <c r="M31" s="259">
        <f>+UCB!M109+UCCS!M109+DDC!M109+HSC!M109+'System Administration'!M67</f>
        <v>78061635</v>
      </c>
    </row>
    <row r="32" spans="1:13" s="5" customFormat="1" ht="12">
      <c r="A32" s="41">
        <v>19</v>
      </c>
      <c r="C32" s="4" t="s">
        <v>195</v>
      </c>
      <c r="D32" s="14"/>
      <c r="E32" s="41">
        <v>19</v>
      </c>
      <c r="G32" s="112">
        <f>+UCB!G110+UCCS!G110+DDC!G110+HSC!G110+'System Administration'!G68</f>
        <v>986</v>
      </c>
      <c r="H32" s="259">
        <f>+UCB!H110+UCCS!H110+DDC!H110+HSC!H110+'System Administration'!H68</f>
        <v>211804194.63000003</v>
      </c>
      <c r="I32" s="112">
        <f>+UCB!I110+UCCS!I110+DDC!I110+HSC!I110+'System Administration'!I68</f>
        <v>962.74</v>
      </c>
      <c r="J32" s="259">
        <f>+UCB!J110+UCCS!J110+DDC!J110+HSC!J110+'System Administration'!J68</f>
        <v>224718207.76999998</v>
      </c>
      <c r="K32" s="43"/>
      <c r="L32" s="112">
        <f>+UCB!L110+UCCS!L110+DDC!L110+HSC!L110+'System Administration'!L68</f>
        <v>946.14</v>
      </c>
      <c r="M32" s="259">
        <f>+UCB!M110+UCCS!M110+DDC!M110+HSC!M110+'System Administration'!M68</f>
        <v>225412942</v>
      </c>
    </row>
    <row r="33" spans="1:13" s="5" customFormat="1" ht="12">
      <c r="A33" s="41">
        <v>20</v>
      </c>
      <c r="C33" s="4" t="s">
        <v>173</v>
      </c>
      <c r="D33" s="14"/>
      <c r="E33" s="41">
        <v>20</v>
      </c>
      <c r="G33" s="112">
        <f>+UCB!G111+UCCS!G111+DDC!G111+HSC!G111+'System Administration'!G69</f>
        <v>14864.7</v>
      </c>
      <c r="H33" s="259">
        <f>+UCB!H111+UCCS!H111+DDC!H111+HSC!H111+'System Administration'!H69</f>
        <v>491171518.17</v>
      </c>
      <c r="I33" s="112">
        <f>+UCB!I111+UCCS!I111+DDC!I111+HSC!I111+'System Administration'!I69</f>
        <v>14983.66</v>
      </c>
      <c r="J33" s="259">
        <f>+UCB!J111+UCCS!J111+DDC!J111+HSC!J111+'System Administration'!J69</f>
        <v>522206694.7</v>
      </c>
      <c r="K33" s="43"/>
      <c r="L33" s="112">
        <f>+UCB!L111+UCCS!L111+DDC!L111+HSC!L111+'System Administration'!L69</f>
        <v>15145</v>
      </c>
      <c r="M33" s="259">
        <f>+UCB!M111+UCCS!M111+DDC!M111+HSC!M111+'System Administration'!M69</f>
        <v>546395526</v>
      </c>
    </row>
    <row r="34" spans="1:13" s="5" customFormat="1" ht="12">
      <c r="A34" s="41">
        <v>21</v>
      </c>
      <c r="C34" s="4" t="s">
        <v>248</v>
      </c>
      <c r="D34" s="14"/>
      <c r="E34" s="41">
        <v>21</v>
      </c>
      <c r="G34" s="112">
        <f>+UCB!G112+UCCS!G112+DDC!G112+HSC!G112+'System Administration'!G70</f>
        <v>0</v>
      </c>
      <c r="H34" s="259">
        <f>+UCB!H112+UCCS!H112+DDC!H112+HSC!H112+'System Administration'!H70</f>
        <v>36322274.89</v>
      </c>
      <c r="I34" s="112">
        <f>+UCB!I112+UCCS!I112+DDC!I112+HSC!I112+'System Administration'!I70</f>
        <v>0</v>
      </c>
      <c r="J34" s="259">
        <f>+UCB!J112+UCCS!J112+DDC!J112+HSC!J112+'System Administration'!J70</f>
        <v>43613783.07</v>
      </c>
      <c r="K34" s="43"/>
      <c r="L34" s="112">
        <f>+UCB!L112+UCCS!L112+DDC!L112+HSC!L112+'System Administration'!L70</f>
        <v>0</v>
      </c>
      <c r="M34" s="259">
        <f>+UCB!M112+UCCS!M112+DDC!M112+HSC!M112+'System Administration'!M70</f>
        <v>50661358</v>
      </c>
    </row>
    <row r="35" spans="1:13" s="5" customFormat="1" ht="12">
      <c r="A35" s="41">
        <v>22</v>
      </c>
      <c r="C35" s="7"/>
      <c r="E35" s="41">
        <v>22</v>
      </c>
      <c r="F35" s="15" t="s">
        <v>1</v>
      </c>
      <c r="G35" s="260"/>
      <c r="H35" s="15"/>
      <c r="I35" s="260"/>
      <c r="J35" s="19"/>
      <c r="K35" s="18"/>
      <c r="L35" s="260"/>
      <c r="M35" s="19"/>
    </row>
    <row r="36" spans="1:13" s="5" customFormat="1" ht="12">
      <c r="A36" s="41">
        <v>23</v>
      </c>
      <c r="C36" s="5" t="s">
        <v>199</v>
      </c>
      <c r="D36" s="76"/>
      <c r="E36" s="41">
        <v>23</v>
      </c>
      <c r="F36" s="77"/>
      <c r="G36" s="261"/>
      <c r="H36" s="266">
        <f>SUM(H26,H27,H33)</f>
        <v>650275500.78</v>
      </c>
      <c r="I36" s="266"/>
      <c r="J36" s="266">
        <f>SUM(J26,J27,J33)</f>
        <v>701042380.7</v>
      </c>
      <c r="K36" s="266"/>
      <c r="L36" s="266"/>
      <c r="M36" s="266">
        <f>SUM(M26,M27,M33)</f>
        <v>748751535</v>
      </c>
    </row>
    <row r="37" spans="1:13" s="5" customFormat="1" ht="12">
      <c r="A37" s="41">
        <v>24</v>
      </c>
      <c r="C37" s="7"/>
      <c r="D37" s="4"/>
      <c r="E37" s="41">
        <v>24</v>
      </c>
      <c r="G37" s="93"/>
      <c r="I37" s="93"/>
      <c r="J37" s="17"/>
      <c r="L37" s="93"/>
      <c r="M37" s="17"/>
    </row>
    <row r="38" spans="1:13" s="5" customFormat="1" ht="12">
      <c r="A38" s="41">
        <v>25</v>
      </c>
      <c r="C38" s="4" t="s">
        <v>219</v>
      </c>
      <c r="D38" s="14"/>
      <c r="E38" s="41">
        <v>25</v>
      </c>
      <c r="G38" s="112"/>
      <c r="H38" s="259">
        <f>+UCB!H116+UCCS!H116+DDC!H116+HSC!H116+'System Administration'!H74</f>
        <v>169896683.88</v>
      </c>
      <c r="I38" s="112"/>
      <c r="J38" s="259">
        <f>+UCB!J116+UCCS!J116+DDC!J116+HSC!J116+'System Administration'!J74</f>
        <v>166450739.94</v>
      </c>
      <c r="K38" s="43"/>
      <c r="L38" s="112"/>
      <c r="M38" s="259">
        <f>+UCB!M116+UCCS!M116+DDC!M116+HSC!M116+'System Administration'!M74</f>
        <v>164975486</v>
      </c>
    </row>
    <row r="39" spans="1:13" s="5" customFormat="1" ht="12">
      <c r="A39" s="5">
        <v>26</v>
      </c>
      <c r="E39" s="5">
        <v>26</v>
      </c>
      <c r="F39" s="15" t="s">
        <v>1</v>
      </c>
      <c r="G39" s="260"/>
      <c r="H39" s="15"/>
      <c r="I39" s="260"/>
      <c r="J39" s="19"/>
      <c r="K39" s="18"/>
      <c r="L39" s="260"/>
      <c r="M39" s="19"/>
    </row>
    <row r="40" spans="1:13" s="5" customFormat="1" ht="12">
      <c r="A40" s="41">
        <v>27</v>
      </c>
      <c r="C40" s="4" t="s">
        <v>266</v>
      </c>
      <c r="E40" s="41">
        <v>27</v>
      </c>
      <c r="F40" s="71"/>
      <c r="G40" s="261"/>
      <c r="H40" s="266">
        <f>SUM(H36,H38)</f>
        <v>820172184.66</v>
      </c>
      <c r="I40" s="266"/>
      <c r="J40" s="266">
        <f>SUM(J36,J38)</f>
        <v>867493120.6400001</v>
      </c>
      <c r="K40" s="266"/>
      <c r="L40" s="266"/>
      <c r="M40" s="266">
        <f>SUM(M36,M38)</f>
        <v>913727021</v>
      </c>
    </row>
    <row r="41" spans="6:13" s="5" customFormat="1" ht="12">
      <c r="F41" s="15"/>
      <c r="G41" s="260"/>
      <c r="H41" s="15"/>
      <c r="I41" s="260"/>
      <c r="J41" s="19"/>
      <c r="K41" s="18"/>
      <c r="L41" s="260"/>
      <c r="M41" s="19"/>
    </row>
    <row r="42" spans="6:13" s="5" customFormat="1" ht="12">
      <c r="F42" s="15"/>
      <c r="G42" s="260"/>
      <c r="H42" s="15"/>
      <c r="I42" s="260"/>
      <c r="J42" s="19"/>
      <c r="K42" s="18"/>
      <c r="L42" s="260"/>
      <c r="M42" s="19"/>
    </row>
    <row r="43" spans="1:13" s="5" customFormat="1" ht="12">
      <c r="A43" s="8"/>
      <c r="B43" s="8"/>
      <c r="C43" s="8" t="s">
        <v>102</v>
      </c>
      <c r="D43" s="9"/>
      <c r="E43" s="8"/>
      <c r="F43" s="10"/>
      <c r="G43" s="262"/>
      <c r="H43" s="10"/>
      <c r="I43" s="262"/>
      <c r="J43" s="11"/>
      <c r="K43" s="12"/>
      <c r="L43" s="262"/>
      <c r="M43" s="13"/>
    </row>
    <row r="45" spans="1:13" ht="12.75">
      <c r="A45" s="5"/>
      <c r="B45" s="5"/>
      <c r="C45" s="5"/>
      <c r="D45" s="14"/>
      <c r="E45" s="5"/>
      <c r="F45" s="15"/>
      <c r="G45" s="260"/>
      <c r="H45" s="15"/>
      <c r="I45" s="260"/>
      <c r="J45" s="17"/>
      <c r="K45" s="18"/>
      <c r="L45" s="260"/>
      <c r="M45" s="19"/>
    </row>
    <row r="46" spans="1:13" ht="12.75">
      <c r="A46" s="5"/>
      <c r="B46" s="5"/>
      <c r="C46" s="5"/>
      <c r="D46" s="5"/>
      <c r="E46" s="38"/>
      <c r="F46" s="5"/>
      <c r="G46" s="93"/>
      <c r="H46" s="5"/>
      <c r="I46" s="93"/>
      <c r="J46" s="17"/>
      <c r="K46" s="5"/>
      <c r="L46" s="93"/>
      <c r="M46" s="17"/>
    </row>
    <row r="47" spans="1:13" ht="12.75">
      <c r="A47" s="5"/>
      <c r="B47" s="5"/>
      <c r="C47" s="5"/>
      <c r="D47" s="5"/>
      <c r="E47" s="5"/>
      <c r="F47" s="5"/>
      <c r="G47" s="93"/>
      <c r="H47" s="5"/>
      <c r="I47" s="93"/>
      <c r="J47" s="17"/>
      <c r="K47" s="5"/>
      <c r="L47" s="93"/>
      <c r="M47" s="17"/>
    </row>
    <row r="48" spans="1:13" ht="12.75">
      <c r="A48" s="70" t="str">
        <f>A6</f>
        <v>NAME: UNIVERSITY OF COLORADO </v>
      </c>
      <c r="B48" s="21"/>
      <c r="C48" s="21"/>
      <c r="D48" s="21"/>
      <c r="E48" s="20"/>
      <c r="F48" s="21"/>
      <c r="G48" s="263"/>
      <c r="H48" s="21"/>
      <c r="I48" s="265"/>
      <c r="J48" s="23"/>
      <c r="K48" s="21"/>
      <c r="L48" s="265"/>
      <c r="M48" s="69" t="s">
        <v>293</v>
      </c>
    </row>
    <row r="49" spans="1:13" ht="12.75">
      <c r="A49" s="423" t="s">
        <v>291</v>
      </c>
      <c r="B49" s="423"/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</row>
    <row r="50" spans="1:13" ht="12.75">
      <c r="A50" s="70"/>
      <c r="B50" s="5"/>
      <c r="C50" s="5"/>
      <c r="D50" s="5"/>
      <c r="E50" s="5"/>
      <c r="F50" s="5"/>
      <c r="G50" s="93"/>
      <c r="H50" s="5"/>
      <c r="I50" s="93"/>
      <c r="J50" s="25"/>
      <c r="K50" s="5"/>
      <c r="L50" s="90"/>
      <c r="M50" s="72" t="s">
        <v>346</v>
      </c>
    </row>
    <row r="51" spans="1:13" ht="12.75">
      <c r="A51" s="15" t="s">
        <v>1</v>
      </c>
      <c r="B51" s="15" t="s">
        <v>1</v>
      </c>
      <c r="C51" s="15" t="s">
        <v>1</v>
      </c>
      <c r="D51" s="15" t="s">
        <v>1</v>
      </c>
      <c r="E51" s="15" t="s">
        <v>1</v>
      </c>
      <c r="F51" s="15" t="s">
        <v>1</v>
      </c>
      <c r="G51" s="260"/>
      <c r="H51" s="15"/>
      <c r="I51" s="15" t="s">
        <v>1</v>
      </c>
      <c r="J51" s="15" t="s">
        <v>1</v>
      </c>
      <c r="K51" s="15" t="s">
        <v>1</v>
      </c>
      <c r="L51" s="15" t="s">
        <v>1</v>
      </c>
      <c r="M51" s="15" t="s">
        <v>1</v>
      </c>
    </row>
    <row r="52" spans="1:13" ht="12.75">
      <c r="A52" s="73" t="s">
        <v>2</v>
      </c>
      <c r="B52" s="5"/>
      <c r="C52" s="5"/>
      <c r="D52" s="5"/>
      <c r="E52" s="73" t="s">
        <v>2</v>
      </c>
      <c r="F52" s="1"/>
      <c r="G52" s="112"/>
      <c r="H52" s="1" t="s">
        <v>172</v>
      </c>
      <c r="I52" s="261"/>
      <c r="J52" s="3" t="s">
        <v>280</v>
      </c>
      <c r="K52" s="1"/>
      <c r="L52" s="261"/>
      <c r="M52" s="3" t="s">
        <v>289</v>
      </c>
    </row>
    <row r="53" spans="1:13" ht="12.75">
      <c r="A53" s="73" t="s">
        <v>4</v>
      </c>
      <c r="B53" s="5"/>
      <c r="C53" s="74" t="s">
        <v>20</v>
      </c>
      <c r="D53" s="5"/>
      <c r="E53" s="73" t="s">
        <v>4</v>
      </c>
      <c r="F53" s="1"/>
      <c r="G53" s="112"/>
      <c r="H53" s="1" t="s">
        <v>7</v>
      </c>
      <c r="I53" s="261"/>
      <c r="J53" s="3" t="s">
        <v>7</v>
      </c>
      <c r="K53" s="1"/>
      <c r="L53" s="261"/>
      <c r="M53" s="3" t="s">
        <v>8</v>
      </c>
    </row>
    <row r="54" spans="1:13" ht="12.75">
      <c r="A54" s="15" t="s">
        <v>1</v>
      </c>
      <c r="B54" s="15" t="s">
        <v>1</v>
      </c>
      <c r="C54" s="15" t="s">
        <v>1</v>
      </c>
      <c r="D54" s="15" t="s">
        <v>1</v>
      </c>
      <c r="E54" s="15" t="s">
        <v>1</v>
      </c>
      <c r="F54" s="15" t="s">
        <v>1</v>
      </c>
      <c r="G54" s="260"/>
      <c r="H54" s="15"/>
      <c r="I54" s="15" t="s">
        <v>1</v>
      </c>
      <c r="J54" s="15" t="s">
        <v>1</v>
      </c>
      <c r="K54" s="15" t="s">
        <v>1</v>
      </c>
      <c r="L54" s="15" t="s">
        <v>1</v>
      </c>
      <c r="M54" s="19" t="s">
        <v>1</v>
      </c>
    </row>
    <row r="55" spans="1:13" ht="12.75">
      <c r="A55" s="5">
        <v>1</v>
      </c>
      <c r="B55" s="5"/>
      <c r="C55" s="5" t="s">
        <v>222</v>
      </c>
      <c r="D55" s="5"/>
      <c r="E55" s="5">
        <v>1</v>
      </c>
      <c r="F55" s="5"/>
      <c r="G55" s="93"/>
      <c r="H55" s="296"/>
      <c r="I55" s="93"/>
      <c r="J55" s="296"/>
      <c r="K55" s="296"/>
      <c r="L55" s="297"/>
      <c r="M55" s="296"/>
    </row>
    <row r="56" spans="1:13" ht="12.75">
      <c r="A56" s="5">
        <v>2</v>
      </c>
      <c r="B56" s="5"/>
      <c r="C56" s="5" t="s">
        <v>208</v>
      </c>
      <c r="D56" s="5"/>
      <c r="E56" s="5">
        <v>2</v>
      </c>
      <c r="F56" s="5"/>
      <c r="G56" s="93"/>
      <c r="H56" s="296"/>
      <c r="I56" s="93"/>
      <c r="J56" s="296"/>
      <c r="K56" s="296"/>
      <c r="L56" s="297"/>
      <c r="M56" s="296"/>
    </row>
    <row r="57" spans="1:13" ht="12.75">
      <c r="A57" s="5">
        <v>3</v>
      </c>
      <c r="B57" s="5"/>
      <c r="C57" s="5" t="s">
        <v>209</v>
      </c>
      <c r="D57" s="5"/>
      <c r="E57" s="5">
        <v>3</v>
      </c>
      <c r="F57" s="5"/>
      <c r="G57" s="93"/>
      <c r="H57" s="296"/>
      <c r="I57" s="93"/>
      <c r="J57" s="296"/>
      <c r="K57" s="296"/>
      <c r="L57" s="297"/>
      <c r="M57" s="296"/>
    </row>
    <row r="58" spans="1:13" ht="12.75">
      <c r="A58" s="5">
        <v>4</v>
      </c>
      <c r="B58" s="5"/>
      <c r="C58" s="5" t="s">
        <v>210</v>
      </c>
      <c r="D58" s="5"/>
      <c r="E58" s="5">
        <v>4</v>
      </c>
      <c r="F58" s="5"/>
      <c r="G58" s="93"/>
      <c r="H58" s="296"/>
      <c r="I58" s="93"/>
      <c r="J58" s="296"/>
      <c r="K58" s="296"/>
      <c r="L58" s="297"/>
      <c r="M58" s="296"/>
    </row>
    <row r="59" spans="1:13" ht="12.75">
      <c r="A59" s="5">
        <v>5</v>
      </c>
      <c r="B59" s="5"/>
      <c r="C59" s="5" t="s">
        <v>211</v>
      </c>
      <c r="D59" s="5"/>
      <c r="E59" s="5">
        <v>5</v>
      </c>
      <c r="F59" s="5"/>
      <c r="G59" s="93"/>
      <c r="H59" s="296">
        <v>88800</v>
      </c>
      <c r="I59" s="93"/>
      <c r="J59" s="296"/>
      <c r="K59" s="296"/>
      <c r="L59" s="297"/>
      <c r="M59" s="296"/>
    </row>
    <row r="60" spans="1:13" ht="12.75">
      <c r="A60" s="5">
        <v>6</v>
      </c>
      <c r="B60" s="5"/>
      <c r="C60" s="5" t="s">
        <v>212</v>
      </c>
      <c r="D60" s="5"/>
      <c r="E60" s="5">
        <v>6</v>
      </c>
      <c r="F60" s="5"/>
      <c r="G60" s="93"/>
      <c r="H60" s="296"/>
      <c r="I60" s="93"/>
      <c r="J60" s="296"/>
      <c r="K60" s="296"/>
      <c r="L60" s="297"/>
      <c r="M60" s="296"/>
    </row>
    <row r="61" spans="1:13" ht="12.75">
      <c r="A61" s="5">
        <v>7</v>
      </c>
      <c r="B61" s="5"/>
      <c r="C61" s="5" t="s">
        <v>213</v>
      </c>
      <c r="D61" s="5"/>
      <c r="E61" s="5">
        <v>7</v>
      </c>
      <c r="F61" s="5"/>
      <c r="G61" s="93"/>
      <c r="H61" s="296"/>
      <c r="I61" s="93"/>
      <c r="J61" s="296"/>
      <c r="K61" s="296"/>
      <c r="L61" s="297"/>
      <c r="M61" s="296"/>
    </row>
    <row r="62" spans="1:13" ht="12.75">
      <c r="A62" s="5">
        <v>8</v>
      </c>
      <c r="B62" s="5"/>
      <c r="C62" s="5" t="s">
        <v>214</v>
      </c>
      <c r="D62" s="5"/>
      <c r="E62" s="5">
        <v>8</v>
      </c>
      <c r="F62" s="5"/>
      <c r="G62" s="93"/>
      <c r="H62" s="296">
        <v>39095779</v>
      </c>
      <c r="I62" s="93"/>
      <c r="J62" s="296">
        <v>45343871</v>
      </c>
      <c r="K62" s="296"/>
      <c r="L62" s="297"/>
      <c r="M62" s="296">
        <v>60542190</v>
      </c>
    </row>
    <row r="63" spans="1:13" ht="12.75">
      <c r="A63" s="5">
        <v>9</v>
      </c>
      <c r="B63" s="5"/>
      <c r="C63" s="5" t="s">
        <v>215</v>
      </c>
      <c r="D63" s="5"/>
      <c r="E63" s="5">
        <v>9</v>
      </c>
      <c r="F63" s="5"/>
      <c r="G63" s="93"/>
      <c r="H63" s="296"/>
      <c r="I63" s="93"/>
      <c r="J63" s="296"/>
      <c r="K63" s="296"/>
      <c r="L63" s="297"/>
      <c r="M63" s="296"/>
    </row>
    <row r="64" spans="1:13" ht="12.75">
      <c r="A64" s="5">
        <v>10</v>
      </c>
      <c r="B64" s="5"/>
      <c r="C64" s="5" t="s">
        <v>216</v>
      </c>
      <c r="D64" s="5"/>
      <c r="E64" s="5">
        <v>10</v>
      </c>
      <c r="F64" s="5"/>
      <c r="G64" s="93"/>
      <c r="H64" s="296">
        <v>56523403</v>
      </c>
      <c r="I64" s="93"/>
      <c r="J64" s="296">
        <v>60171682</v>
      </c>
      <c r="K64" s="296"/>
      <c r="L64" s="297"/>
      <c r="M64" s="296">
        <v>61368920</v>
      </c>
    </row>
    <row r="65" spans="1:13" ht="12.75">
      <c r="A65" s="5">
        <v>11</v>
      </c>
      <c r="B65" s="5"/>
      <c r="C65" s="5" t="s">
        <v>217</v>
      </c>
      <c r="D65" s="5"/>
      <c r="E65" s="5">
        <v>11</v>
      </c>
      <c r="F65" s="5"/>
      <c r="G65" s="93"/>
      <c r="H65" s="296"/>
      <c r="I65" s="93"/>
      <c r="J65" s="296"/>
      <c r="K65" s="296"/>
      <c r="L65" s="297"/>
      <c r="M65" s="296"/>
    </row>
    <row r="66" spans="1:13" ht="12.75">
      <c r="A66" s="5"/>
      <c r="B66" s="5"/>
      <c r="C66" s="5" t="s">
        <v>218</v>
      </c>
      <c r="D66" s="5"/>
      <c r="E66" s="38"/>
      <c r="F66" s="5"/>
      <c r="G66" s="93"/>
      <c r="H66" s="296"/>
      <c r="I66" s="93"/>
      <c r="J66" s="296"/>
      <c r="K66" s="296"/>
      <c r="L66" s="297"/>
      <c r="M66" s="296"/>
    </row>
    <row r="67" spans="1:13" ht="12.75">
      <c r="A67" s="5">
        <v>12</v>
      </c>
      <c r="B67" s="5"/>
      <c r="C67" s="5" t="s">
        <v>223</v>
      </c>
      <c r="D67" s="5"/>
      <c r="E67" s="38">
        <v>12</v>
      </c>
      <c r="F67" s="5"/>
      <c r="G67" s="93"/>
      <c r="H67" s="296">
        <f>SUM(H55:H65)</f>
        <v>95707982</v>
      </c>
      <c r="I67" s="93"/>
      <c r="J67" s="296">
        <f>SUM(J55:J65)</f>
        <v>105515553</v>
      </c>
      <c r="K67" s="296"/>
      <c r="L67" s="297"/>
      <c r="M67" s="296">
        <f>SUM(M55:M65)</f>
        <v>121911110</v>
      </c>
    </row>
    <row r="68" spans="1:13" ht="12.75">
      <c r="A68" s="5"/>
      <c r="B68" s="5"/>
      <c r="C68" s="5"/>
      <c r="D68" s="5"/>
      <c r="E68" s="38"/>
      <c r="F68" s="5"/>
      <c r="G68" s="93"/>
      <c r="H68" s="5"/>
      <c r="I68" s="93"/>
      <c r="J68" s="17"/>
      <c r="K68" s="5"/>
      <c r="L68" s="93"/>
      <c r="M68" s="17"/>
    </row>
    <row r="69" spans="1:13" ht="12.75">
      <c r="A69" s="5"/>
      <c r="B69" s="5"/>
      <c r="C69" s="5"/>
      <c r="D69" s="5"/>
      <c r="E69" s="38"/>
      <c r="F69" s="5"/>
      <c r="G69" s="93"/>
      <c r="H69" s="5"/>
      <c r="I69" s="93"/>
      <c r="J69" s="17"/>
      <c r="K69" s="5"/>
      <c r="L69" s="93"/>
      <c r="M69" s="17"/>
    </row>
    <row r="70" spans="1:13" ht="12.75">
      <c r="A70" s="5"/>
      <c r="B70" s="5"/>
      <c r="C70" s="5"/>
      <c r="D70" s="5"/>
      <c r="E70" s="38"/>
      <c r="F70" s="5"/>
      <c r="G70" s="93"/>
      <c r="H70" s="5"/>
      <c r="I70" s="93"/>
      <c r="J70" s="17"/>
      <c r="K70" s="5"/>
      <c r="L70" s="93"/>
      <c r="M70" s="17"/>
    </row>
    <row r="71" spans="1:13" ht="12.75">
      <c r="A71" s="5"/>
      <c r="B71" s="5"/>
      <c r="C71" s="5"/>
      <c r="D71" s="5"/>
      <c r="E71" s="38"/>
      <c r="F71" s="5"/>
      <c r="G71" s="93"/>
      <c r="H71" s="5"/>
      <c r="I71" s="93"/>
      <c r="J71" s="17"/>
      <c r="K71" s="5"/>
      <c r="L71" s="93"/>
      <c r="M71" s="17"/>
    </row>
    <row r="72" spans="1:13" ht="12.75">
      <c r="A72" s="5"/>
      <c r="B72" s="5"/>
      <c r="C72" s="5"/>
      <c r="D72" s="5"/>
      <c r="E72" s="38"/>
      <c r="F72" s="5"/>
      <c r="G72" s="93"/>
      <c r="H72" s="5"/>
      <c r="I72" s="93"/>
      <c r="J72" s="17"/>
      <c r="K72" s="5"/>
      <c r="L72" s="93"/>
      <c r="M72" s="17"/>
    </row>
    <row r="73" spans="1:13" ht="12.75">
      <c r="A73" s="5"/>
      <c r="B73" s="5"/>
      <c r="C73" s="5"/>
      <c r="D73" s="5"/>
      <c r="E73" s="38"/>
      <c r="F73" s="5"/>
      <c r="G73" s="93"/>
      <c r="H73" s="5"/>
      <c r="I73" s="93"/>
      <c r="J73" s="17"/>
      <c r="K73" s="5"/>
      <c r="L73" s="93"/>
      <c r="M73" s="17"/>
    </row>
    <row r="74" spans="1:13" ht="12.75">
      <c r="A74" s="5"/>
      <c r="B74" s="5"/>
      <c r="C74" s="5"/>
      <c r="D74" s="5"/>
      <c r="E74" s="38"/>
      <c r="F74" s="5"/>
      <c r="G74" s="93"/>
      <c r="H74" s="5"/>
      <c r="I74" s="93"/>
      <c r="J74" s="17"/>
      <c r="K74" s="5"/>
      <c r="L74" s="93"/>
      <c r="M74" s="17"/>
    </row>
    <row r="75" spans="1:13" ht="12.75">
      <c r="A75" s="5"/>
      <c r="B75" s="5"/>
      <c r="C75" s="5"/>
      <c r="D75" s="5"/>
      <c r="E75" s="38"/>
      <c r="F75" s="5"/>
      <c r="G75" s="93"/>
      <c r="H75" s="5"/>
      <c r="I75" s="93"/>
      <c r="J75" s="17"/>
      <c r="K75" s="5"/>
      <c r="L75" s="93"/>
      <c r="M75" s="17"/>
    </row>
    <row r="76" spans="1:13" ht="12.75">
      <c r="A76" s="5"/>
      <c r="B76" s="5"/>
      <c r="C76" s="5"/>
      <c r="D76" s="5"/>
      <c r="E76" s="38"/>
      <c r="F76" s="5"/>
      <c r="G76" s="93"/>
      <c r="H76" s="5"/>
      <c r="I76" s="93"/>
      <c r="J76" s="17"/>
      <c r="K76" s="5"/>
      <c r="L76" s="93"/>
      <c r="M76" s="17"/>
    </row>
    <row r="77" spans="1:13" ht="12.75">
      <c r="A77" s="5"/>
      <c r="B77" s="5"/>
      <c r="C77" s="5"/>
      <c r="D77" s="5"/>
      <c r="E77" s="38"/>
      <c r="F77" s="5"/>
      <c r="G77" s="93"/>
      <c r="H77" s="5"/>
      <c r="I77" s="93"/>
      <c r="J77" s="17"/>
      <c r="K77" s="5"/>
      <c r="L77" s="93"/>
      <c r="M77" s="17"/>
    </row>
    <row r="78" spans="1:13" ht="12.75">
      <c r="A78" s="5"/>
      <c r="B78" s="5"/>
      <c r="C78" s="5"/>
      <c r="D78" s="5"/>
      <c r="E78" s="38"/>
      <c r="F78" s="5"/>
      <c r="G78" s="93"/>
      <c r="H78" s="5"/>
      <c r="I78" s="93"/>
      <c r="J78" s="17"/>
      <c r="K78" s="5"/>
      <c r="L78" s="93"/>
      <c r="M78" s="17"/>
    </row>
    <row r="79" spans="1:13" ht="12.75">
      <c r="A79" s="5"/>
      <c r="B79" s="5"/>
      <c r="C79" s="5"/>
      <c r="D79" s="5"/>
      <c r="E79" s="38"/>
      <c r="F79" s="5"/>
      <c r="G79" s="93"/>
      <c r="H79" s="5"/>
      <c r="I79" s="93"/>
      <c r="J79" s="17"/>
      <c r="K79" s="5"/>
      <c r="L79" s="93"/>
      <c r="M79" s="17"/>
    </row>
    <row r="80" spans="1:13" ht="12.75">
      <c r="A80" s="5"/>
      <c r="B80" s="5"/>
      <c r="C80" s="5" t="s">
        <v>221</v>
      </c>
      <c r="D80" s="5"/>
      <c r="E80" s="38"/>
      <c r="F80" s="5"/>
      <c r="G80" s="93"/>
      <c r="H80" s="5"/>
      <c r="I80" s="93"/>
      <c r="J80" s="17"/>
      <c r="K80" s="5"/>
      <c r="L80" s="93"/>
      <c r="M80" s="17"/>
    </row>
    <row r="81" spans="1:13" ht="12.75">
      <c r="A81" s="5"/>
      <c r="B81" s="5"/>
      <c r="C81" s="5"/>
      <c r="D81" s="5"/>
      <c r="E81" s="38"/>
      <c r="F81" s="5"/>
      <c r="G81" s="93"/>
      <c r="H81" s="5"/>
      <c r="I81" s="93"/>
      <c r="J81" s="17"/>
      <c r="K81" s="5"/>
      <c r="L81" s="93"/>
      <c r="M81" s="17"/>
    </row>
    <row r="82" spans="1:13" ht="12.75">
      <c r="A82" s="5"/>
      <c r="B82" s="83"/>
      <c r="C82" s="84"/>
      <c r="D82" s="85"/>
      <c r="E82" s="85"/>
      <c r="F82" s="85"/>
      <c r="G82" s="93"/>
      <c r="H82" s="5"/>
      <c r="I82" s="93"/>
      <c r="J82" s="17"/>
      <c r="K82" s="5"/>
      <c r="L82" s="93"/>
      <c r="M82" s="17"/>
    </row>
    <row r="83" spans="1:13" ht="12.75">
      <c r="A83" s="5"/>
      <c r="B83" s="83"/>
      <c r="C83" s="84"/>
      <c r="D83" s="85"/>
      <c r="E83" s="85"/>
      <c r="F83" s="85"/>
      <c r="G83" s="93"/>
      <c r="H83" s="5"/>
      <c r="I83" s="93"/>
      <c r="J83" s="17"/>
      <c r="K83" s="5"/>
      <c r="L83" s="93"/>
      <c r="M83" s="17"/>
    </row>
    <row r="84" spans="1:13" ht="12.75">
      <c r="A84" s="5"/>
      <c r="B84" s="5"/>
      <c r="C84" s="5"/>
      <c r="D84" s="5"/>
      <c r="E84" s="38"/>
      <c r="F84" s="5"/>
      <c r="G84" s="93"/>
      <c r="H84" s="5"/>
      <c r="I84" s="93"/>
      <c r="J84" s="17"/>
      <c r="K84" s="5"/>
      <c r="L84" s="93"/>
      <c r="M84" s="17"/>
    </row>
    <row r="85" spans="1:13" ht="12.75">
      <c r="A85" s="5"/>
      <c r="B85" s="5"/>
      <c r="C85" s="5"/>
      <c r="D85" s="5"/>
      <c r="E85" s="38"/>
      <c r="F85" s="5"/>
      <c r="G85" s="93"/>
      <c r="H85" s="5"/>
      <c r="I85" s="93"/>
      <c r="J85" s="17"/>
      <c r="K85" s="5"/>
      <c r="L85" s="93"/>
      <c r="M85" s="17"/>
    </row>
    <row r="86" spans="1:13" ht="12.75">
      <c r="A86" s="5"/>
      <c r="B86" s="5"/>
      <c r="C86" s="5"/>
      <c r="D86" s="5"/>
      <c r="E86" s="38"/>
      <c r="F86" s="5"/>
      <c r="G86" s="93"/>
      <c r="H86" s="5"/>
      <c r="I86" s="93"/>
      <c r="J86" s="17"/>
      <c r="K86" s="5"/>
      <c r="L86" s="93"/>
      <c r="M86" s="17"/>
    </row>
    <row r="87" spans="1:13" ht="12.75">
      <c r="A87" s="5"/>
      <c r="B87" s="5"/>
      <c r="C87" s="5"/>
      <c r="D87" s="5"/>
      <c r="E87" s="38"/>
      <c r="F87" s="5"/>
      <c r="G87" s="93"/>
      <c r="H87" s="5"/>
      <c r="I87" s="93"/>
      <c r="J87" s="17"/>
      <c r="K87" s="5"/>
      <c r="L87" s="93"/>
      <c r="M87" s="17"/>
    </row>
    <row r="88" spans="1:13" ht="12.75">
      <c r="A88" s="5"/>
      <c r="B88" s="5"/>
      <c r="C88" s="5"/>
      <c r="D88" s="5"/>
      <c r="E88" s="38"/>
      <c r="F88" s="5"/>
      <c r="G88" s="93"/>
      <c r="H88" s="5"/>
      <c r="I88" s="93"/>
      <c r="J88" s="17"/>
      <c r="K88" s="5"/>
      <c r="L88" s="93"/>
      <c r="M88" s="17"/>
    </row>
    <row r="89" spans="1:13" ht="12.75">
      <c r="A89" s="5"/>
      <c r="B89" s="5"/>
      <c r="C89" s="5"/>
      <c r="D89" s="5"/>
      <c r="E89" s="38"/>
      <c r="F89" s="5"/>
      <c r="G89" s="93"/>
      <c r="H89" s="5"/>
      <c r="I89" s="93"/>
      <c r="J89" s="17"/>
      <c r="K89" s="5"/>
      <c r="L89" s="93"/>
      <c r="M89" s="17"/>
    </row>
    <row r="90" spans="1:13" ht="12.75">
      <c r="A90" s="5"/>
      <c r="B90" s="5"/>
      <c r="C90" s="5"/>
      <c r="D90" s="5"/>
      <c r="E90" s="38"/>
      <c r="F90" s="5"/>
      <c r="G90" s="93"/>
      <c r="H90" s="5"/>
      <c r="I90" s="93"/>
      <c r="J90" s="17"/>
      <c r="K90" s="5"/>
      <c r="L90" s="93"/>
      <c r="M90" s="17"/>
    </row>
    <row r="91" spans="1:13" ht="12.75">
      <c r="A91" s="5"/>
      <c r="B91" s="5"/>
      <c r="C91" s="5"/>
      <c r="D91" s="5"/>
      <c r="E91" s="38"/>
      <c r="F91" s="5"/>
      <c r="G91" s="93"/>
      <c r="H91" s="5"/>
      <c r="I91" s="93"/>
      <c r="J91" s="17"/>
      <c r="K91" s="5"/>
      <c r="L91" s="93"/>
      <c r="M91" s="17"/>
    </row>
    <row r="92" spans="1:13" ht="12.75">
      <c r="A92" s="5"/>
      <c r="B92" s="5"/>
      <c r="C92" s="5"/>
      <c r="D92" s="5"/>
      <c r="E92" s="38"/>
      <c r="F92" s="5"/>
      <c r="G92" s="93"/>
      <c r="H92" s="5"/>
      <c r="I92" s="93"/>
      <c r="J92" s="17"/>
      <c r="K92" s="5"/>
      <c r="L92" s="93"/>
      <c r="M92" s="17"/>
    </row>
    <row r="93" spans="1:13" ht="12.75">
      <c r="A93" s="5"/>
      <c r="B93" s="5"/>
      <c r="C93" s="5"/>
      <c r="D93" s="5"/>
      <c r="E93" s="38"/>
      <c r="F93" s="5"/>
      <c r="G93" s="93"/>
      <c r="H93" s="5"/>
      <c r="I93" s="93"/>
      <c r="J93" s="17"/>
      <c r="K93" s="5"/>
      <c r="L93" s="93"/>
      <c r="M93" s="17"/>
    </row>
    <row r="94" spans="1:13" ht="12.75">
      <c r="A94" s="5"/>
      <c r="B94" s="5"/>
      <c r="C94" s="5"/>
      <c r="D94" s="5"/>
      <c r="E94" s="38"/>
      <c r="F94" s="5"/>
      <c r="G94" s="93"/>
      <c r="H94" s="5"/>
      <c r="I94" s="93"/>
      <c r="J94" s="17"/>
      <c r="K94" s="5"/>
      <c r="L94" s="93"/>
      <c r="M94" s="17"/>
    </row>
  </sheetData>
  <sheetProtection/>
  <mergeCells count="2">
    <mergeCell ref="A5:M5"/>
    <mergeCell ref="A49:M49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026"/>
  <sheetViews>
    <sheetView view="pageBreakPreview" zoomScale="75" zoomScaleSheetLayoutView="75" zoomScalePageLayoutView="0" workbookViewId="0" topLeftCell="A862">
      <selection activeCell="D924" sqref="D924"/>
    </sheetView>
  </sheetViews>
  <sheetFormatPr defaultColWidth="9.625" defaultRowHeight="12.75"/>
  <cols>
    <col min="1" max="1" width="4.625" style="5" customWidth="1"/>
    <col min="2" max="2" width="1.875" style="5" customWidth="1"/>
    <col min="3" max="3" width="33.125" style="5" customWidth="1"/>
    <col min="4" max="4" width="23.75390625" style="5" customWidth="1"/>
    <col min="5" max="6" width="8.125" style="5" customWidth="1"/>
    <col min="7" max="7" width="7.50390625" style="5" customWidth="1"/>
    <col min="8" max="8" width="13.75390625" style="5" customWidth="1"/>
    <col min="9" max="9" width="11.625" style="5" customWidth="1"/>
    <col min="10" max="10" width="12.625" style="5" customWidth="1"/>
    <col min="11" max="11" width="8.875" style="5" customWidth="1"/>
    <col min="12" max="12" width="8.625" style="5" customWidth="1"/>
    <col min="13" max="13" width="15.25390625" style="5" bestFit="1" customWidth="1"/>
    <col min="14" max="16384" width="9.625" style="5" customWidth="1"/>
  </cols>
  <sheetData>
    <row r="2" spans="12:13" ht="12">
      <c r="L2" s="48"/>
      <c r="M2" s="17" t="s">
        <v>158</v>
      </c>
    </row>
    <row r="3" spans="12:13" ht="12">
      <c r="L3" s="48"/>
      <c r="M3" s="17" t="s">
        <v>346</v>
      </c>
    </row>
    <row r="4" spans="12:13" ht="12">
      <c r="L4" s="48"/>
      <c r="M4" s="17"/>
    </row>
    <row r="5" spans="12:13" ht="12">
      <c r="L5" s="48"/>
      <c r="M5" s="17"/>
    </row>
    <row r="6" spans="1:13" ht="45">
      <c r="A6" s="424" t="s">
        <v>157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</row>
    <row r="7" spans="12:13" ht="12">
      <c r="L7" s="48"/>
      <c r="M7" s="17"/>
    </row>
    <row r="8" spans="12:13" ht="12">
      <c r="L8" s="48"/>
      <c r="M8" s="17"/>
    </row>
    <row r="9" spans="1:13" ht="33">
      <c r="A9" s="425" t="s">
        <v>285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</row>
    <row r="10" spans="1:13" ht="33">
      <c r="A10" s="425" t="s">
        <v>286</v>
      </c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</row>
    <row r="11" spans="12:13" ht="12">
      <c r="L11" s="48"/>
      <c r="M11" s="17"/>
    </row>
    <row r="12" spans="12:13" ht="12">
      <c r="L12" s="48"/>
      <c r="M12" s="17"/>
    </row>
    <row r="13" spans="12:13" ht="12">
      <c r="L13" s="48"/>
      <c r="M13" s="17"/>
    </row>
    <row r="14" spans="12:13" ht="12">
      <c r="L14" s="48"/>
      <c r="M14" s="17"/>
    </row>
    <row r="15" spans="12:13" ht="12">
      <c r="L15" s="48"/>
      <c r="M15" s="17"/>
    </row>
    <row r="16" spans="12:13" ht="12">
      <c r="L16" s="48"/>
      <c r="M16" s="17"/>
    </row>
    <row r="17" spans="12:13" ht="12">
      <c r="L17" s="48"/>
      <c r="M17" s="17"/>
    </row>
    <row r="18" spans="12:13" ht="12">
      <c r="L18" s="48"/>
      <c r="M18" s="17"/>
    </row>
    <row r="19" spans="12:13" ht="12">
      <c r="L19" s="48"/>
      <c r="M19" s="17"/>
    </row>
    <row r="20" spans="12:13" ht="12">
      <c r="L20" s="48"/>
      <c r="M20" s="17"/>
    </row>
    <row r="21" spans="1:13" ht="45">
      <c r="A21" s="426" t="s">
        <v>601</v>
      </c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</row>
    <row r="22" spans="12:13" ht="12">
      <c r="L22" s="48"/>
      <c r="M22" s="17"/>
    </row>
    <row r="23" spans="12:13" ht="12">
      <c r="L23" s="48"/>
      <c r="M23" s="17"/>
    </row>
    <row r="24" spans="12:13" ht="12">
      <c r="L24" s="48"/>
      <c r="M24" s="17"/>
    </row>
    <row r="25" spans="12:13" ht="12">
      <c r="L25" s="48"/>
      <c r="M25" s="17"/>
    </row>
    <row r="26" spans="12:13" ht="12">
      <c r="L26" s="48"/>
      <c r="M26" s="17"/>
    </row>
    <row r="27" spans="12:13" ht="12">
      <c r="L27" s="48"/>
      <c r="M27" s="17"/>
    </row>
    <row r="28" spans="12:13" ht="12">
      <c r="L28" s="48"/>
      <c r="M28" s="17"/>
    </row>
    <row r="29" spans="12:13" ht="12">
      <c r="L29" s="48"/>
      <c r="M29" s="17"/>
    </row>
    <row r="30" spans="12:13" ht="12">
      <c r="L30" s="48"/>
      <c r="M30" s="17"/>
    </row>
    <row r="31" spans="12:13" ht="12">
      <c r="L31" s="48"/>
      <c r="M31" s="17"/>
    </row>
    <row r="32" spans="12:13" ht="12">
      <c r="L32" s="48"/>
      <c r="M32" s="17"/>
    </row>
    <row r="33" spans="12:13" ht="12">
      <c r="L33" s="48"/>
      <c r="M33" s="17"/>
    </row>
    <row r="34" spans="12:13" ht="12">
      <c r="L34" s="48"/>
      <c r="M34" s="17"/>
    </row>
    <row r="35" spans="12:13" ht="12">
      <c r="L35" s="48"/>
      <c r="M35" s="17"/>
    </row>
    <row r="36" spans="12:13" ht="12">
      <c r="L36" s="48"/>
      <c r="M36" s="17"/>
    </row>
    <row r="37" spans="1:13" ht="27">
      <c r="A37" s="427" t="s">
        <v>287</v>
      </c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</row>
    <row r="38" spans="9:13" ht="12">
      <c r="I38" s="48"/>
      <c r="J38" s="17"/>
      <c r="L38" s="48"/>
      <c r="M38" s="17"/>
    </row>
    <row r="39" spans="9:13" ht="12">
      <c r="I39" s="48"/>
      <c r="J39" s="17"/>
      <c r="L39" s="48"/>
      <c r="M39" s="17"/>
    </row>
    <row r="40" spans="1:13" ht="12">
      <c r="A40" s="41"/>
      <c r="C40" s="4"/>
      <c r="E40" s="41"/>
      <c r="F40" s="27"/>
      <c r="G40" s="27"/>
      <c r="H40" s="27"/>
      <c r="I40" s="39"/>
      <c r="J40" s="40"/>
      <c r="K40" s="27"/>
      <c r="L40" s="39"/>
      <c r="M40" s="40"/>
    </row>
    <row r="41" spans="1:13" ht="12">
      <c r="A41" s="68"/>
      <c r="I41" s="6"/>
      <c r="J41" s="17"/>
      <c r="L41" s="48"/>
      <c r="M41" s="69" t="s">
        <v>127</v>
      </c>
    </row>
    <row r="42" spans="1:13" ht="12">
      <c r="A42" s="422" t="s">
        <v>126</v>
      </c>
      <c r="B42" s="422"/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</row>
    <row r="43" spans="1:13" ht="12">
      <c r="A43" s="70" t="s">
        <v>645</v>
      </c>
      <c r="I43" s="6"/>
      <c r="J43" s="17"/>
      <c r="K43" s="71"/>
      <c r="L43" s="6"/>
      <c r="M43" s="72" t="str">
        <f>$M$3</f>
        <v>Date:  10/01/2007</v>
      </c>
    </row>
    <row r="44" spans="1:13" ht="12">
      <c r="A44" s="15" t="s">
        <v>1</v>
      </c>
      <c r="B44" s="15" t="s">
        <v>1</v>
      </c>
      <c r="C44" s="15" t="s">
        <v>1</v>
      </c>
      <c r="D44" s="15" t="s">
        <v>1</v>
      </c>
      <c r="E44" s="15" t="s">
        <v>1</v>
      </c>
      <c r="F44" s="15" t="s">
        <v>1</v>
      </c>
      <c r="G44" s="15"/>
      <c r="H44" s="15"/>
      <c r="I44" s="16" t="s">
        <v>1</v>
      </c>
      <c r="J44" s="19" t="s">
        <v>1</v>
      </c>
      <c r="K44" s="15" t="s">
        <v>1</v>
      </c>
      <c r="L44" s="16" t="s">
        <v>1</v>
      </c>
      <c r="M44" s="19" t="s">
        <v>1</v>
      </c>
    </row>
    <row r="45" spans="1:13" ht="12">
      <c r="A45" s="73" t="s">
        <v>2</v>
      </c>
      <c r="C45" s="4" t="s">
        <v>3</v>
      </c>
      <c r="E45" s="73" t="s">
        <v>2</v>
      </c>
      <c r="F45" s="1"/>
      <c r="G45" s="1"/>
      <c r="H45" s="1" t="s">
        <v>172</v>
      </c>
      <c r="I45" s="2"/>
      <c r="J45" s="3" t="s">
        <v>280</v>
      </c>
      <c r="K45" s="1"/>
      <c r="L45" s="2"/>
      <c r="M45" s="3" t="s">
        <v>289</v>
      </c>
    </row>
    <row r="46" spans="1:13" ht="12">
      <c r="A46" s="73" t="s">
        <v>4</v>
      </c>
      <c r="C46" s="74" t="s">
        <v>5</v>
      </c>
      <c r="E46" s="73" t="s">
        <v>4</v>
      </c>
      <c r="F46" s="1"/>
      <c r="G46" s="1" t="s">
        <v>21</v>
      </c>
      <c r="H46" s="1" t="s">
        <v>7</v>
      </c>
      <c r="I46" s="2" t="s">
        <v>6</v>
      </c>
      <c r="J46" s="3" t="s">
        <v>7</v>
      </c>
      <c r="K46" s="1"/>
      <c r="L46" s="2" t="s">
        <v>6</v>
      </c>
      <c r="M46" s="3" t="s">
        <v>8</v>
      </c>
    </row>
    <row r="47" spans="1:13" ht="12">
      <c r="A47" s="15" t="s">
        <v>1</v>
      </c>
      <c r="B47" s="15" t="s">
        <v>1</v>
      </c>
      <c r="C47" s="15" t="s">
        <v>1</v>
      </c>
      <c r="D47" s="15" t="s">
        <v>1</v>
      </c>
      <c r="E47" s="15" t="s">
        <v>1</v>
      </c>
      <c r="F47" s="15" t="s">
        <v>1</v>
      </c>
      <c r="G47" s="15"/>
      <c r="H47" s="15"/>
      <c r="I47" s="16" t="s">
        <v>1</v>
      </c>
      <c r="J47" s="19" t="s">
        <v>1</v>
      </c>
      <c r="K47" s="15" t="s">
        <v>1</v>
      </c>
      <c r="L47" s="16" t="s">
        <v>1</v>
      </c>
      <c r="M47" s="19" t="s">
        <v>1</v>
      </c>
    </row>
    <row r="48" spans="1:13" ht="12">
      <c r="A48" s="41">
        <v>1</v>
      </c>
      <c r="C48" s="4" t="s">
        <v>9</v>
      </c>
      <c r="D48" s="14" t="s">
        <v>117</v>
      </c>
      <c r="E48" s="41">
        <v>1</v>
      </c>
      <c r="G48" s="43">
        <v>0</v>
      </c>
      <c r="H48" s="43">
        <v>0</v>
      </c>
      <c r="I48" s="63">
        <v>0</v>
      </c>
      <c r="J48" s="63">
        <v>0</v>
      </c>
      <c r="K48" s="43"/>
      <c r="L48" s="63">
        <v>0</v>
      </c>
      <c r="M48" s="63">
        <v>0</v>
      </c>
    </row>
    <row r="49" spans="1:13" ht="12">
      <c r="A49" s="41">
        <v>2</v>
      </c>
      <c r="C49" s="4" t="s">
        <v>10</v>
      </c>
      <c r="D49" s="14" t="s">
        <v>118</v>
      </c>
      <c r="E49" s="41">
        <v>2</v>
      </c>
      <c r="G49" s="43">
        <v>0</v>
      </c>
      <c r="H49" s="43">
        <v>0</v>
      </c>
      <c r="I49" s="63">
        <v>0</v>
      </c>
      <c r="J49" s="63">
        <v>0</v>
      </c>
      <c r="K49" s="43"/>
      <c r="L49" s="63">
        <v>0</v>
      </c>
      <c r="M49" s="63">
        <v>0</v>
      </c>
    </row>
    <row r="50" spans="1:13" ht="12">
      <c r="A50" s="41">
        <v>3</v>
      </c>
      <c r="C50" s="4" t="s">
        <v>11</v>
      </c>
      <c r="D50" s="14" t="s">
        <v>119</v>
      </c>
      <c r="E50" s="41">
        <v>3</v>
      </c>
      <c r="G50" s="43">
        <v>0</v>
      </c>
      <c r="H50" s="43">
        <v>0</v>
      </c>
      <c r="I50" s="63">
        <v>0</v>
      </c>
      <c r="J50" s="63">
        <v>0</v>
      </c>
      <c r="K50" s="43"/>
      <c r="L50" s="63">
        <v>0</v>
      </c>
      <c r="M50" s="63">
        <v>0</v>
      </c>
    </row>
    <row r="51" spans="1:13" ht="12">
      <c r="A51" s="41">
        <v>4</v>
      </c>
      <c r="C51" s="4" t="s">
        <v>12</v>
      </c>
      <c r="D51" s="14" t="s">
        <v>120</v>
      </c>
      <c r="E51" s="41">
        <v>4</v>
      </c>
      <c r="G51" s="43">
        <v>0</v>
      </c>
      <c r="H51" s="43">
        <v>0</v>
      </c>
      <c r="I51" s="63">
        <v>0</v>
      </c>
      <c r="J51" s="63">
        <v>0</v>
      </c>
      <c r="K51" s="43"/>
      <c r="L51" s="63">
        <v>0</v>
      </c>
      <c r="M51" s="63">
        <v>0</v>
      </c>
    </row>
    <row r="52" spans="1:13" ht="12">
      <c r="A52" s="41">
        <v>5</v>
      </c>
      <c r="C52" s="4" t="s">
        <v>13</v>
      </c>
      <c r="D52" s="14" t="s">
        <v>121</v>
      </c>
      <c r="E52" s="41">
        <v>5</v>
      </c>
      <c r="G52" s="43">
        <v>0</v>
      </c>
      <c r="H52" s="43">
        <v>0</v>
      </c>
      <c r="I52" s="63">
        <v>0</v>
      </c>
      <c r="J52" s="63">
        <v>0</v>
      </c>
      <c r="K52" s="43"/>
      <c r="L52" s="63">
        <v>0</v>
      </c>
      <c r="M52" s="63">
        <v>0</v>
      </c>
    </row>
    <row r="53" spans="1:13" ht="12">
      <c r="A53" s="41">
        <v>6</v>
      </c>
      <c r="C53" s="4" t="s">
        <v>14</v>
      </c>
      <c r="D53" s="14" t="s">
        <v>122</v>
      </c>
      <c r="E53" s="41">
        <v>6</v>
      </c>
      <c r="G53" s="43">
        <v>0</v>
      </c>
      <c r="H53" s="43">
        <v>0</v>
      </c>
      <c r="I53" s="63">
        <v>0</v>
      </c>
      <c r="J53" s="63">
        <v>0</v>
      </c>
      <c r="K53" s="43"/>
      <c r="L53" s="63">
        <v>0</v>
      </c>
      <c r="M53" s="63">
        <v>0</v>
      </c>
    </row>
    <row r="54" spans="1:13" ht="12">
      <c r="A54" s="41">
        <v>7</v>
      </c>
      <c r="C54" s="4" t="s">
        <v>59</v>
      </c>
      <c r="D54" s="14" t="s">
        <v>123</v>
      </c>
      <c r="E54" s="41">
        <v>7</v>
      </c>
      <c r="G54" s="43">
        <v>0</v>
      </c>
      <c r="H54" s="43">
        <v>0</v>
      </c>
      <c r="I54" s="63">
        <v>0</v>
      </c>
      <c r="J54" s="63">
        <v>0</v>
      </c>
      <c r="K54" s="43"/>
      <c r="L54" s="63">
        <v>0</v>
      </c>
      <c r="M54" s="63">
        <v>0</v>
      </c>
    </row>
    <row r="55" spans="1:13" ht="12">
      <c r="A55" s="41">
        <v>8</v>
      </c>
      <c r="C55" s="4" t="s">
        <v>15</v>
      </c>
      <c r="D55" s="14" t="s">
        <v>124</v>
      </c>
      <c r="E55" s="41">
        <v>8</v>
      </c>
      <c r="G55" s="43">
        <v>0</v>
      </c>
      <c r="H55" s="43">
        <v>0</v>
      </c>
      <c r="I55" s="63">
        <v>0</v>
      </c>
      <c r="J55" s="63">
        <v>0</v>
      </c>
      <c r="K55" s="43"/>
      <c r="L55" s="63">
        <v>0</v>
      </c>
      <c r="M55" s="63">
        <v>0</v>
      </c>
    </row>
    <row r="56" spans="1:13" ht="12">
      <c r="A56" s="41">
        <v>9</v>
      </c>
      <c r="C56" s="4" t="s">
        <v>101</v>
      </c>
      <c r="D56" s="14" t="s">
        <v>125</v>
      </c>
      <c r="E56" s="41">
        <v>9</v>
      </c>
      <c r="G56" s="43">
        <v>0</v>
      </c>
      <c r="H56" s="43">
        <v>0</v>
      </c>
      <c r="I56" s="63">
        <v>0</v>
      </c>
      <c r="J56" s="63">
        <v>0</v>
      </c>
      <c r="K56" s="43"/>
      <c r="L56" s="63">
        <v>0</v>
      </c>
      <c r="M56" s="63">
        <v>0</v>
      </c>
    </row>
    <row r="57" spans="1:13" ht="12">
      <c r="A57" s="41">
        <v>10</v>
      </c>
      <c r="C57" s="4" t="s">
        <v>16</v>
      </c>
      <c r="D57" s="14" t="s">
        <v>100</v>
      </c>
      <c r="E57" s="41">
        <v>10</v>
      </c>
      <c r="G57" s="43">
        <v>0</v>
      </c>
      <c r="H57" s="43">
        <v>0</v>
      </c>
      <c r="I57" s="63">
        <v>0</v>
      </c>
      <c r="J57" s="63">
        <v>0</v>
      </c>
      <c r="K57" s="43"/>
      <c r="L57" s="63">
        <v>0</v>
      </c>
      <c r="M57" s="63">
        <v>0</v>
      </c>
    </row>
    <row r="58" spans="1:13" ht="12">
      <c r="A58" s="41"/>
      <c r="C58" s="4"/>
      <c r="D58" s="14"/>
      <c r="E58" s="41"/>
      <c r="F58" s="15" t="s">
        <v>1</v>
      </c>
      <c r="G58" s="15"/>
      <c r="H58" s="15"/>
      <c r="I58" s="16" t="s">
        <v>1</v>
      </c>
      <c r="J58" s="19"/>
      <c r="K58" s="18"/>
      <c r="L58" s="16"/>
      <c r="M58" s="19"/>
    </row>
    <row r="59" spans="1:13" ht="12">
      <c r="A59" s="5">
        <v>11</v>
      </c>
      <c r="C59" s="4" t="s">
        <v>265</v>
      </c>
      <c r="E59" s="5">
        <v>11</v>
      </c>
      <c r="G59" s="43">
        <f>SUM(G48:G57)</f>
        <v>0</v>
      </c>
      <c r="H59" s="43">
        <f>SUM(H48:H57)</f>
        <v>0</v>
      </c>
      <c r="I59" s="63">
        <f>SUM(I48:I57)</f>
        <v>0</v>
      </c>
      <c r="J59" s="63">
        <f>SUM(J48:J57)</f>
        <v>0</v>
      </c>
      <c r="K59" s="43"/>
      <c r="L59" s="63">
        <f>SUM(L48:L57)</f>
        <v>0</v>
      </c>
      <c r="M59" s="63">
        <f>SUM(M48:M57)</f>
        <v>0</v>
      </c>
    </row>
    <row r="60" spans="1:13" ht="12">
      <c r="A60" s="41"/>
      <c r="E60" s="41"/>
      <c r="F60" s="15" t="s">
        <v>1</v>
      </c>
      <c r="G60" s="15"/>
      <c r="H60" s="15"/>
      <c r="I60" s="16" t="s">
        <v>1</v>
      </c>
      <c r="J60" s="19"/>
      <c r="K60" s="18"/>
      <c r="L60" s="16"/>
      <c r="M60" s="19"/>
    </row>
    <row r="61" spans="1:13" ht="12">
      <c r="A61" s="41"/>
      <c r="E61" s="41"/>
      <c r="F61" s="15"/>
      <c r="G61" s="15"/>
      <c r="H61" s="15"/>
      <c r="I61" s="6"/>
      <c r="J61" s="19"/>
      <c r="K61" s="18"/>
      <c r="L61" s="6"/>
      <c r="M61" s="19"/>
    </row>
    <row r="62" spans="1:13" ht="12">
      <c r="A62" s="5">
        <v>12</v>
      </c>
      <c r="C62" s="4" t="s">
        <v>17</v>
      </c>
      <c r="E62" s="5">
        <v>12</v>
      </c>
      <c r="G62" s="43"/>
      <c r="H62" s="43"/>
      <c r="I62" s="63"/>
      <c r="J62" s="63"/>
      <c r="K62" s="43"/>
      <c r="L62" s="63"/>
      <c r="M62" s="63"/>
    </row>
    <row r="63" spans="1:13" ht="12">
      <c r="A63" s="41">
        <v>13</v>
      </c>
      <c r="C63" s="4" t="s">
        <v>226</v>
      </c>
      <c r="D63" s="14" t="s">
        <v>261</v>
      </c>
      <c r="E63" s="41">
        <v>13</v>
      </c>
      <c r="G63" s="43">
        <v>0</v>
      </c>
      <c r="H63" s="43">
        <v>0</v>
      </c>
      <c r="I63" s="43">
        <v>0</v>
      </c>
      <c r="J63" s="43">
        <v>0</v>
      </c>
      <c r="K63" s="43"/>
      <c r="L63" s="43">
        <v>0</v>
      </c>
      <c r="M63" s="43">
        <v>0</v>
      </c>
    </row>
    <row r="64" spans="1:13" ht="12">
      <c r="A64" s="41">
        <v>14</v>
      </c>
      <c r="C64" s="4" t="s">
        <v>227</v>
      </c>
      <c r="D64" s="14" t="s">
        <v>262</v>
      </c>
      <c r="E64" s="41">
        <v>14</v>
      </c>
      <c r="G64" s="43">
        <v>0</v>
      </c>
      <c r="H64" s="43">
        <f>H195</f>
        <v>14423.651142003553</v>
      </c>
      <c r="I64" s="43">
        <v>0</v>
      </c>
      <c r="J64" s="43">
        <f>J195</f>
        <v>15049.186248618082</v>
      </c>
      <c r="K64" s="43"/>
      <c r="L64" s="43">
        <v>0</v>
      </c>
      <c r="M64" s="43">
        <f>M195</f>
        <v>16195.588122897463</v>
      </c>
    </row>
    <row r="65" spans="1:13" ht="12">
      <c r="A65" s="41">
        <v>15</v>
      </c>
      <c r="C65" s="4" t="s">
        <v>256</v>
      </c>
      <c r="D65" s="14"/>
      <c r="E65" s="41">
        <v>15</v>
      </c>
      <c r="G65" s="43"/>
      <c r="H65" s="43">
        <v>0</v>
      </c>
      <c r="I65" s="43"/>
      <c r="J65" s="43">
        <v>0</v>
      </c>
      <c r="K65" s="43"/>
      <c r="L65" s="43"/>
      <c r="M65" s="43">
        <v>0</v>
      </c>
    </row>
    <row r="66" spans="1:13" ht="12">
      <c r="A66" s="41">
        <v>16</v>
      </c>
      <c r="C66" s="4" t="s">
        <v>255</v>
      </c>
      <c r="D66" s="14"/>
      <c r="E66" s="41">
        <v>16</v>
      </c>
      <c r="G66" s="43"/>
      <c r="H66" s="43">
        <v>0</v>
      </c>
      <c r="I66" s="43"/>
      <c r="J66" s="43">
        <v>0</v>
      </c>
      <c r="K66" s="43"/>
      <c r="L66" s="43"/>
      <c r="M66" s="43">
        <v>0</v>
      </c>
    </row>
    <row r="67" spans="1:256" ht="12">
      <c r="A67" s="14">
        <v>17</v>
      </c>
      <c r="B67" s="14"/>
      <c r="C67" s="75" t="s">
        <v>257</v>
      </c>
      <c r="D67" s="14"/>
      <c r="E67" s="14">
        <v>17</v>
      </c>
      <c r="F67" s="14"/>
      <c r="G67" s="63">
        <v>0</v>
      </c>
      <c r="H67" s="63">
        <f>SUM(H65:H66)</f>
        <v>0</v>
      </c>
      <c r="I67" s="63">
        <v>0</v>
      </c>
      <c r="J67" s="63">
        <f>SUM(J65:J66)</f>
        <v>0</v>
      </c>
      <c r="K67" s="75"/>
      <c r="L67" s="63">
        <v>0</v>
      </c>
      <c r="M67" s="63">
        <f>SUM(M65:M66)</f>
        <v>0</v>
      </c>
      <c r="N67" s="14"/>
      <c r="O67" s="75"/>
      <c r="P67" s="14"/>
      <c r="Q67" s="75"/>
      <c r="R67" s="14"/>
      <c r="S67" s="75"/>
      <c r="T67" s="14"/>
      <c r="U67" s="75"/>
      <c r="V67" s="14"/>
      <c r="W67" s="75"/>
      <c r="X67" s="14"/>
      <c r="Y67" s="75"/>
      <c r="Z67" s="14"/>
      <c r="AA67" s="75"/>
      <c r="AB67" s="14"/>
      <c r="AC67" s="75"/>
      <c r="AD67" s="14"/>
      <c r="AE67" s="75"/>
      <c r="AF67" s="14"/>
      <c r="AG67" s="75"/>
      <c r="AH67" s="14"/>
      <c r="AI67" s="75"/>
      <c r="AJ67" s="14"/>
      <c r="AK67" s="75"/>
      <c r="AL67" s="14"/>
      <c r="AM67" s="75"/>
      <c r="AN67" s="14"/>
      <c r="AO67" s="75"/>
      <c r="AP67" s="14"/>
      <c r="AQ67" s="75"/>
      <c r="AR67" s="14"/>
      <c r="AS67" s="75"/>
      <c r="AT67" s="14"/>
      <c r="AU67" s="75"/>
      <c r="AV67" s="14"/>
      <c r="AW67" s="75"/>
      <c r="AX67" s="14"/>
      <c r="AY67" s="75"/>
      <c r="AZ67" s="14"/>
      <c r="BA67" s="75"/>
      <c r="BB67" s="14"/>
      <c r="BC67" s="75"/>
      <c r="BD67" s="14"/>
      <c r="BE67" s="75"/>
      <c r="BF67" s="14"/>
      <c r="BG67" s="75"/>
      <c r="BH67" s="14"/>
      <c r="BI67" s="75"/>
      <c r="BJ67" s="14"/>
      <c r="BK67" s="75"/>
      <c r="BL67" s="14"/>
      <c r="BM67" s="75"/>
      <c r="BN67" s="14"/>
      <c r="BO67" s="75"/>
      <c r="BP67" s="14"/>
      <c r="BQ67" s="75"/>
      <c r="BR67" s="14"/>
      <c r="BS67" s="75"/>
      <c r="BT67" s="14"/>
      <c r="BU67" s="75"/>
      <c r="BV67" s="14"/>
      <c r="BW67" s="75"/>
      <c r="BX67" s="14"/>
      <c r="BY67" s="75"/>
      <c r="BZ67" s="14"/>
      <c r="CA67" s="75"/>
      <c r="CB67" s="14"/>
      <c r="CC67" s="75"/>
      <c r="CD67" s="14"/>
      <c r="CE67" s="75"/>
      <c r="CF67" s="14"/>
      <c r="CG67" s="75"/>
      <c r="CH67" s="14"/>
      <c r="CI67" s="75"/>
      <c r="CJ67" s="14"/>
      <c r="CK67" s="75"/>
      <c r="CL67" s="14"/>
      <c r="CM67" s="75"/>
      <c r="CN67" s="14"/>
      <c r="CO67" s="75"/>
      <c r="CP67" s="14"/>
      <c r="CQ67" s="75"/>
      <c r="CR67" s="14"/>
      <c r="CS67" s="75"/>
      <c r="CT67" s="14"/>
      <c r="CU67" s="75"/>
      <c r="CV67" s="14"/>
      <c r="CW67" s="75"/>
      <c r="CX67" s="14"/>
      <c r="CY67" s="75"/>
      <c r="CZ67" s="14"/>
      <c r="DA67" s="75"/>
      <c r="DB67" s="14"/>
      <c r="DC67" s="75"/>
      <c r="DD67" s="14"/>
      <c r="DE67" s="75"/>
      <c r="DF67" s="14"/>
      <c r="DG67" s="75"/>
      <c r="DH67" s="14"/>
      <c r="DI67" s="75"/>
      <c r="DJ67" s="14"/>
      <c r="DK67" s="75"/>
      <c r="DL67" s="14"/>
      <c r="DM67" s="75"/>
      <c r="DN67" s="14"/>
      <c r="DO67" s="75"/>
      <c r="DP67" s="14"/>
      <c r="DQ67" s="75"/>
      <c r="DR67" s="14"/>
      <c r="DS67" s="75"/>
      <c r="DT67" s="14"/>
      <c r="DU67" s="75"/>
      <c r="DV67" s="14"/>
      <c r="DW67" s="75"/>
      <c r="DX67" s="14"/>
      <c r="DY67" s="75"/>
      <c r="DZ67" s="14"/>
      <c r="EA67" s="75"/>
      <c r="EB67" s="14"/>
      <c r="EC67" s="75"/>
      <c r="ED67" s="14"/>
      <c r="EE67" s="75"/>
      <c r="EF67" s="14"/>
      <c r="EG67" s="75"/>
      <c r="EH67" s="14"/>
      <c r="EI67" s="75"/>
      <c r="EJ67" s="14"/>
      <c r="EK67" s="75"/>
      <c r="EL67" s="14"/>
      <c r="EM67" s="75"/>
      <c r="EN67" s="14"/>
      <c r="EO67" s="75"/>
      <c r="EP67" s="14"/>
      <c r="EQ67" s="75"/>
      <c r="ER67" s="14"/>
      <c r="ES67" s="75"/>
      <c r="ET67" s="14"/>
      <c r="EU67" s="75"/>
      <c r="EV67" s="14"/>
      <c r="EW67" s="75"/>
      <c r="EX67" s="14"/>
      <c r="EY67" s="75"/>
      <c r="EZ67" s="14"/>
      <c r="FA67" s="75"/>
      <c r="FB67" s="14"/>
      <c r="FC67" s="75"/>
      <c r="FD67" s="14"/>
      <c r="FE67" s="75"/>
      <c r="FF67" s="14"/>
      <c r="FG67" s="75"/>
      <c r="FH67" s="14"/>
      <c r="FI67" s="75"/>
      <c r="FJ67" s="14"/>
      <c r="FK67" s="75"/>
      <c r="FL67" s="14"/>
      <c r="FM67" s="75"/>
      <c r="FN67" s="14"/>
      <c r="FO67" s="75"/>
      <c r="FP67" s="14"/>
      <c r="FQ67" s="75"/>
      <c r="FR67" s="14"/>
      <c r="FS67" s="75"/>
      <c r="FT67" s="14"/>
      <c r="FU67" s="75"/>
      <c r="FV67" s="14"/>
      <c r="FW67" s="75"/>
      <c r="FX67" s="14"/>
      <c r="FY67" s="75"/>
      <c r="FZ67" s="14"/>
      <c r="GA67" s="75"/>
      <c r="GB67" s="14"/>
      <c r="GC67" s="75"/>
      <c r="GD67" s="14"/>
      <c r="GE67" s="75"/>
      <c r="GF67" s="14"/>
      <c r="GG67" s="75"/>
      <c r="GH67" s="14"/>
      <c r="GI67" s="75"/>
      <c r="GJ67" s="14"/>
      <c r="GK67" s="75"/>
      <c r="GL67" s="14"/>
      <c r="GM67" s="75"/>
      <c r="GN67" s="14"/>
      <c r="GO67" s="75"/>
      <c r="GP67" s="14"/>
      <c r="GQ67" s="75"/>
      <c r="GR67" s="14"/>
      <c r="GS67" s="75"/>
      <c r="GT67" s="14"/>
      <c r="GU67" s="75"/>
      <c r="GV67" s="14"/>
      <c r="GW67" s="75"/>
      <c r="GX67" s="14"/>
      <c r="GY67" s="75"/>
      <c r="GZ67" s="14"/>
      <c r="HA67" s="75"/>
      <c r="HB67" s="14"/>
      <c r="HC67" s="75"/>
      <c r="HD67" s="14"/>
      <c r="HE67" s="75"/>
      <c r="HF67" s="14"/>
      <c r="HG67" s="75"/>
      <c r="HH67" s="14"/>
      <c r="HI67" s="75"/>
      <c r="HJ67" s="14"/>
      <c r="HK67" s="75"/>
      <c r="HL67" s="14"/>
      <c r="HM67" s="75"/>
      <c r="HN67" s="14"/>
      <c r="HO67" s="75"/>
      <c r="HP67" s="14"/>
      <c r="HQ67" s="75"/>
      <c r="HR67" s="14"/>
      <c r="HS67" s="75"/>
      <c r="HT67" s="14"/>
      <c r="HU67" s="75"/>
      <c r="HV67" s="14"/>
      <c r="HW67" s="75"/>
      <c r="HX67" s="14"/>
      <c r="HY67" s="75"/>
      <c r="HZ67" s="14"/>
      <c r="IA67" s="75"/>
      <c r="IB67" s="14"/>
      <c r="IC67" s="75"/>
      <c r="ID67" s="14"/>
      <c r="IE67" s="75"/>
      <c r="IF67" s="14"/>
      <c r="IG67" s="75"/>
      <c r="IH67" s="14"/>
      <c r="II67" s="75"/>
      <c r="IJ67" s="14"/>
      <c r="IK67" s="75"/>
      <c r="IL67" s="14"/>
      <c r="IM67" s="75"/>
      <c r="IN67" s="14"/>
      <c r="IO67" s="75"/>
      <c r="IP67" s="14"/>
      <c r="IQ67" s="75"/>
      <c r="IR67" s="14"/>
      <c r="IS67" s="75"/>
      <c r="IT67" s="14"/>
      <c r="IU67" s="75"/>
      <c r="IV67" s="14"/>
    </row>
    <row r="68" spans="1:13" ht="12">
      <c r="A68" s="41">
        <v>18</v>
      </c>
      <c r="C68" s="4" t="s">
        <v>258</v>
      </c>
      <c r="D68" s="14"/>
      <c r="E68" s="41">
        <v>18</v>
      </c>
      <c r="G68" s="43">
        <v>0</v>
      </c>
      <c r="H68" s="43">
        <v>0</v>
      </c>
      <c r="I68" s="43">
        <v>0</v>
      </c>
      <c r="J68" s="43">
        <v>0</v>
      </c>
      <c r="K68" s="43"/>
      <c r="L68" s="43">
        <v>0</v>
      </c>
      <c r="M68" s="43">
        <v>0</v>
      </c>
    </row>
    <row r="69" spans="1:13" ht="12">
      <c r="A69" s="41">
        <v>19</v>
      </c>
      <c r="C69" s="4" t="s">
        <v>195</v>
      </c>
      <c r="D69" s="14"/>
      <c r="E69" s="41">
        <v>19</v>
      </c>
      <c r="G69" s="43">
        <v>0</v>
      </c>
      <c r="H69" s="43">
        <v>0</v>
      </c>
      <c r="I69" s="43">
        <v>0</v>
      </c>
      <c r="J69" s="43">
        <v>0</v>
      </c>
      <c r="K69" s="43"/>
      <c r="L69" s="43">
        <v>0</v>
      </c>
      <c r="M69" s="43">
        <v>0</v>
      </c>
    </row>
    <row r="70" spans="1:13" ht="12">
      <c r="A70" s="41">
        <v>20</v>
      </c>
      <c r="C70" s="4" t="s">
        <v>173</v>
      </c>
      <c r="D70" s="14"/>
      <c r="E70" s="41">
        <v>20</v>
      </c>
      <c r="G70" s="43">
        <v>0</v>
      </c>
      <c r="H70" s="43">
        <f>H67+H68+H69</f>
        <v>0</v>
      </c>
      <c r="I70" s="43">
        <v>0</v>
      </c>
      <c r="J70" s="43">
        <f>J67+J68+J69</f>
        <v>0</v>
      </c>
      <c r="K70" s="43"/>
      <c r="L70" s="43">
        <v>0</v>
      </c>
      <c r="M70" s="43">
        <f>M67+M68+M69</f>
        <v>0</v>
      </c>
    </row>
    <row r="71" spans="1:13" ht="12">
      <c r="A71" s="41">
        <v>21</v>
      </c>
      <c r="C71" s="4" t="s">
        <v>248</v>
      </c>
      <c r="D71" s="14"/>
      <c r="E71" s="41">
        <v>21</v>
      </c>
      <c r="G71" s="43">
        <v>0</v>
      </c>
      <c r="H71" s="43">
        <v>0</v>
      </c>
      <c r="I71" s="43">
        <v>0</v>
      </c>
      <c r="J71" s="43">
        <v>0</v>
      </c>
      <c r="K71" s="43"/>
      <c r="L71" s="43">
        <v>0</v>
      </c>
      <c r="M71" s="43">
        <v>0</v>
      </c>
    </row>
    <row r="72" spans="1:13" ht="12">
      <c r="A72" s="41">
        <v>22</v>
      </c>
      <c r="C72" s="7"/>
      <c r="E72" s="41">
        <v>22</v>
      </c>
      <c r="F72" s="15" t="s">
        <v>1</v>
      </c>
      <c r="G72" s="15"/>
      <c r="H72" s="15"/>
      <c r="I72" s="16"/>
      <c r="J72" s="19"/>
      <c r="K72" s="18"/>
      <c r="L72" s="16"/>
      <c r="M72" s="19"/>
    </row>
    <row r="73" spans="1:13" ht="12">
      <c r="A73" s="41">
        <v>23</v>
      </c>
      <c r="C73" s="5" t="s">
        <v>199</v>
      </c>
      <c r="D73" s="76"/>
      <c r="E73" s="41">
        <v>23</v>
      </c>
      <c r="F73" s="77"/>
      <c r="G73" s="78"/>
      <c r="H73" s="78">
        <f>SUM(H63,H64,H70)</f>
        <v>14423.651142003553</v>
      </c>
      <c r="I73" s="78"/>
      <c r="J73" s="78">
        <f>SUM(J63,J64,J70)</f>
        <v>15049.186248618082</v>
      </c>
      <c r="K73" s="78"/>
      <c r="L73" s="78"/>
      <c r="M73" s="78">
        <f>SUM(M63,M64,M70)</f>
        <v>16195.588122897463</v>
      </c>
    </row>
    <row r="74" spans="1:13" ht="12">
      <c r="A74" s="41">
        <v>24</v>
      </c>
      <c r="C74" s="7"/>
      <c r="D74" s="4"/>
      <c r="E74" s="41">
        <v>24</v>
      </c>
      <c r="I74" s="48"/>
      <c r="J74" s="17"/>
      <c r="L74" s="48"/>
      <c r="M74" s="17"/>
    </row>
    <row r="75" spans="1:13" ht="12">
      <c r="A75" s="41">
        <v>25</v>
      </c>
      <c r="C75" s="4" t="s">
        <v>219</v>
      </c>
      <c r="D75" s="14"/>
      <c r="E75" s="41">
        <v>25</v>
      </c>
      <c r="G75" s="43"/>
      <c r="H75" s="43">
        <v>0</v>
      </c>
      <c r="I75" s="43"/>
      <c r="J75" s="43">
        <v>0</v>
      </c>
      <c r="K75" s="43"/>
      <c r="L75" s="43"/>
      <c r="M75" s="43">
        <v>0</v>
      </c>
    </row>
    <row r="76" spans="1:13" ht="12">
      <c r="A76" s="5">
        <v>26</v>
      </c>
      <c r="E76" s="5">
        <v>26</v>
      </c>
      <c r="F76" s="15" t="s">
        <v>1</v>
      </c>
      <c r="G76" s="15"/>
      <c r="H76" s="15"/>
      <c r="I76" s="16"/>
      <c r="J76" s="19"/>
      <c r="K76" s="18"/>
      <c r="L76" s="16"/>
      <c r="M76" s="19"/>
    </row>
    <row r="77" spans="1:13" ht="12">
      <c r="A77" s="41">
        <v>27</v>
      </c>
      <c r="C77" s="4" t="s">
        <v>266</v>
      </c>
      <c r="E77" s="41">
        <v>27</v>
      </c>
      <c r="F77" s="71"/>
      <c r="G77" s="63"/>
      <c r="H77" s="63">
        <f>SUM(H73,H75)</f>
        <v>14423.651142003553</v>
      </c>
      <c r="I77" s="63"/>
      <c r="J77" s="63">
        <f>SUM(J73,J75)</f>
        <v>15049.186248618082</v>
      </c>
      <c r="K77" s="63"/>
      <c r="L77" s="63"/>
      <c r="M77" s="63">
        <f>SUM(M73,M75)</f>
        <v>16195.588122897463</v>
      </c>
    </row>
    <row r="78" spans="6:13" ht="12">
      <c r="F78" s="15"/>
      <c r="G78" s="15"/>
      <c r="H78" s="15"/>
      <c r="I78" s="16"/>
      <c r="J78" s="19"/>
      <c r="K78" s="18"/>
      <c r="L78" s="16"/>
      <c r="M78" s="19"/>
    </row>
    <row r="79" spans="6:13" ht="12">
      <c r="F79" s="15"/>
      <c r="G79" s="15"/>
      <c r="H79" s="15"/>
      <c r="I79" s="16"/>
      <c r="J79" s="19"/>
      <c r="K79" s="18"/>
      <c r="L79" s="16"/>
      <c r="M79" s="19"/>
    </row>
    <row r="80" spans="3:13" ht="12">
      <c r="C80" s="5" t="s">
        <v>102</v>
      </c>
      <c r="D80" s="14"/>
      <c r="F80" s="15"/>
      <c r="G80" s="15"/>
      <c r="H80" s="15"/>
      <c r="I80" s="16"/>
      <c r="J80" s="17"/>
      <c r="K80" s="18"/>
      <c r="L80" s="16"/>
      <c r="M80" s="19"/>
    </row>
    <row r="81" spans="4:13" ht="12">
      <c r="D81" s="14"/>
      <c r="F81" s="15"/>
      <c r="G81" s="15"/>
      <c r="H81" s="15"/>
      <c r="I81" s="16"/>
      <c r="J81" s="17"/>
      <c r="K81" s="18"/>
      <c r="L81" s="16"/>
      <c r="M81" s="19"/>
    </row>
    <row r="82" spans="1:13" ht="16.5" customHeight="1">
      <c r="A82" s="68" t="s">
        <v>344</v>
      </c>
      <c r="B82" s="68"/>
      <c r="G82" s="89"/>
      <c r="I82" s="89"/>
      <c r="M82" s="189" t="s">
        <v>18</v>
      </c>
    </row>
    <row r="83" spans="1:13" ht="16.5" customHeight="1">
      <c r="A83" s="430" t="s">
        <v>19</v>
      </c>
      <c r="B83" s="430"/>
      <c r="C83" s="430"/>
      <c r="D83" s="430"/>
      <c r="E83" s="430"/>
      <c r="F83" s="430"/>
      <c r="G83" s="430"/>
      <c r="H83" s="430"/>
      <c r="I83" s="430"/>
      <c r="J83" s="430"/>
      <c r="K83" s="430"/>
      <c r="L83" s="430"/>
      <c r="M83" s="430"/>
    </row>
    <row r="84" spans="1:13" ht="16.5" customHeight="1">
      <c r="A84" s="68" t="s">
        <v>345</v>
      </c>
      <c r="B84" s="68"/>
      <c r="G84" s="89"/>
      <c r="I84" s="89"/>
      <c r="L84" s="86"/>
      <c r="M84" s="190" t="s">
        <v>346</v>
      </c>
    </row>
    <row r="85" spans="1:13" ht="16.5" customHeight="1">
      <c r="A85" s="15" t="s">
        <v>1</v>
      </c>
      <c r="B85" s="15"/>
      <c r="C85" s="15" t="s">
        <v>1</v>
      </c>
      <c r="D85" s="15" t="s">
        <v>1</v>
      </c>
      <c r="E85" s="15" t="s">
        <v>1</v>
      </c>
      <c r="F85" s="15"/>
      <c r="G85" s="24" t="s">
        <v>1</v>
      </c>
      <c r="H85" s="15" t="s">
        <v>1</v>
      </c>
      <c r="I85" s="24" t="s">
        <v>1</v>
      </c>
      <c r="J85" s="15" t="s">
        <v>1</v>
      </c>
      <c r="K85" s="15"/>
      <c r="L85" s="15" t="s">
        <v>1</v>
      </c>
      <c r="M85" s="15" t="s">
        <v>1</v>
      </c>
    </row>
    <row r="86" spans="1:13" ht="16.5" customHeight="1">
      <c r="A86" s="73" t="s">
        <v>2</v>
      </c>
      <c r="B86" s="73"/>
      <c r="C86" s="4" t="s">
        <v>3</v>
      </c>
      <c r="E86" s="73" t="s">
        <v>2</v>
      </c>
      <c r="F86" s="73"/>
      <c r="G86" s="175"/>
      <c r="H86" s="123" t="s">
        <v>172</v>
      </c>
      <c r="I86" s="175"/>
      <c r="J86" s="123" t="s">
        <v>280</v>
      </c>
      <c r="K86" s="123"/>
      <c r="L86" s="175"/>
      <c r="M86" s="123" t="s">
        <v>289</v>
      </c>
    </row>
    <row r="87" spans="1:13" ht="16.5" customHeight="1">
      <c r="A87" s="73" t="s">
        <v>4</v>
      </c>
      <c r="B87" s="73"/>
      <c r="C87" s="74" t="s">
        <v>5</v>
      </c>
      <c r="E87" s="73" t="s">
        <v>4</v>
      </c>
      <c r="F87" s="73"/>
      <c r="G87" s="175" t="s">
        <v>6</v>
      </c>
      <c r="H87" s="123" t="s">
        <v>7</v>
      </c>
      <c r="I87" s="175" t="s">
        <v>6</v>
      </c>
      <c r="J87" s="123" t="s">
        <v>7</v>
      </c>
      <c r="K87" s="123"/>
      <c r="L87" s="178" t="s">
        <v>6</v>
      </c>
      <c r="M87" s="123" t="s">
        <v>8</v>
      </c>
    </row>
    <row r="88" spans="1:13" ht="16.5" customHeight="1">
      <c r="A88" s="15" t="s">
        <v>1</v>
      </c>
      <c r="B88" s="15"/>
      <c r="C88" s="15" t="s">
        <v>1</v>
      </c>
      <c r="D88" s="15" t="s">
        <v>1</v>
      </c>
      <c r="E88" s="15" t="s">
        <v>1</v>
      </c>
      <c r="F88" s="15"/>
      <c r="G88" s="24" t="s">
        <v>1</v>
      </c>
      <c r="H88" s="15" t="s">
        <v>1</v>
      </c>
      <c r="I88" s="24" t="s">
        <v>1</v>
      </c>
      <c r="J88" s="15" t="s">
        <v>1</v>
      </c>
      <c r="K88" s="15"/>
      <c r="L88" s="15" t="s">
        <v>1</v>
      </c>
      <c r="M88" s="15" t="s">
        <v>1</v>
      </c>
    </row>
    <row r="89" spans="1:13" ht="12">
      <c r="A89" s="41">
        <v>1</v>
      </c>
      <c r="B89" s="41"/>
      <c r="C89" s="4" t="s">
        <v>9</v>
      </c>
      <c r="D89" s="14" t="s">
        <v>347</v>
      </c>
      <c r="E89" s="41">
        <v>1</v>
      </c>
      <c r="F89" s="41"/>
      <c r="G89" s="89">
        <f aca="true" t="shared" si="0" ref="G89:M89">G632</f>
        <v>2003.7999999999997</v>
      </c>
      <c r="H89" s="86">
        <f t="shared" si="0"/>
        <v>189648626.57000002</v>
      </c>
      <c r="I89" s="89">
        <f t="shared" si="0"/>
        <v>2041.1</v>
      </c>
      <c r="J89" s="86">
        <f t="shared" si="0"/>
        <v>204928899.22</v>
      </c>
      <c r="K89" s="86"/>
      <c r="L89" s="89">
        <f t="shared" si="0"/>
        <v>2071.5</v>
      </c>
      <c r="M89" s="86">
        <f t="shared" si="0"/>
        <v>228800027</v>
      </c>
    </row>
    <row r="90" spans="1:13" ht="12">
      <c r="A90" s="41">
        <v>2</v>
      </c>
      <c r="B90" s="41"/>
      <c r="C90" s="4" t="s">
        <v>10</v>
      </c>
      <c r="D90" s="14" t="s">
        <v>348</v>
      </c>
      <c r="E90" s="41">
        <v>2</v>
      </c>
      <c r="F90" s="41"/>
      <c r="G90" s="89">
        <f aca="true" t="shared" si="1" ref="G90:M90">G671</f>
        <v>42.1</v>
      </c>
      <c r="H90" s="86">
        <f t="shared" si="1"/>
        <v>5457534.47</v>
      </c>
      <c r="I90" s="89">
        <f t="shared" si="1"/>
        <v>47.8</v>
      </c>
      <c r="J90" s="86">
        <f t="shared" si="1"/>
        <v>7682283.87</v>
      </c>
      <c r="K90" s="86"/>
      <c r="L90" s="89">
        <f t="shared" si="1"/>
        <v>48.3</v>
      </c>
      <c r="M90" s="86">
        <f t="shared" si="1"/>
        <v>8233465</v>
      </c>
    </row>
    <row r="91" spans="1:13" ht="12">
      <c r="A91" s="41">
        <v>3</v>
      </c>
      <c r="B91" s="41"/>
      <c r="C91" s="4" t="s">
        <v>11</v>
      </c>
      <c r="D91" s="14" t="s">
        <v>349</v>
      </c>
      <c r="E91" s="41">
        <v>3</v>
      </c>
      <c r="F91" s="41"/>
      <c r="G91" s="89">
        <f aca="true" t="shared" si="2" ref="G91:M91">G710</f>
        <v>7.7</v>
      </c>
      <c r="H91" s="86">
        <f t="shared" si="2"/>
        <v>661738.62</v>
      </c>
      <c r="I91" s="89">
        <f t="shared" si="2"/>
        <v>8.1</v>
      </c>
      <c r="J91" s="86">
        <f t="shared" si="2"/>
        <v>714377.3700000001</v>
      </c>
      <c r="K91" s="86"/>
      <c r="L91" s="89">
        <f t="shared" si="2"/>
        <v>8.1</v>
      </c>
      <c r="M91" s="86">
        <f t="shared" si="2"/>
        <v>767544</v>
      </c>
    </row>
    <row r="92" spans="1:13" ht="12">
      <c r="A92" s="41">
        <v>4</v>
      </c>
      <c r="B92" s="41"/>
      <c r="C92" s="4" t="s">
        <v>12</v>
      </c>
      <c r="D92" s="14" t="s">
        <v>350</v>
      </c>
      <c r="E92" s="41">
        <v>4</v>
      </c>
      <c r="F92" s="41"/>
      <c r="G92" s="89">
        <f aca="true" t="shared" si="3" ref="G92:M92">G747</f>
        <v>525.0999999999999</v>
      </c>
      <c r="H92" s="86">
        <f t="shared" si="3"/>
        <v>48822554.269999996</v>
      </c>
      <c r="I92" s="89">
        <f t="shared" si="3"/>
        <v>526.7</v>
      </c>
      <c r="J92" s="86">
        <f t="shared" si="3"/>
        <v>49777361.99</v>
      </c>
      <c r="K92" s="86"/>
      <c r="L92" s="89">
        <f t="shared" si="3"/>
        <v>528.3</v>
      </c>
      <c r="M92" s="86">
        <f t="shared" si="3"/>
        <v>53591239</v>
      </c>
    </row>
    <row r="93" spans="1:13" ht="12">
      <c r="A93" s="41">
        <v>5</v>
      </c>
      <c r="B93" s="41"/>
      <c r="C93" s="4" t="s">
        <v>13</v>
      </c>
      <c r="D93" s="14" t="s">
        <v>351</v>
      </c>
      <c r="E93" s="41">
        <v>5</v>
      </c>
      <c r="F93" s="41"/>
      <c r="G93" s="89">
        <f aca="true" t="shared" si="4" ref="G93:M93">G784</f>
        <v>209.5</v>
      </c>
      <c r="H93" s="86">
        <f t="shared" si="4"/>
        <v>17080051.939999998</v>
      </c>
      <c r="I93" s="89">
        <f t="shared" si="4"/>
        <v>215.10000000000002</v>
      </c>
      <c r="J93" s="86">
        <f t="shared" si="4"/>
        <v>18639242.650000002</v>
      </c>
      <c r="K93" s="86"/>
      <c r="L93" s="89">
        <f t="shared" si="4"/>
        <v>215.8</v>
      </c>
      <c r="M93" s="86">
        <f t="shared" si="4"/>
        <v>20043852</v>
      </c>
    </row>
    <row r="94" spans="1:13" ht="12">
      <c r="A94" s="41">
        <v>6</v>
      </c>
      <c r="B94" s="41"/>
      <c r="C94" s="4" t="s">
        <v>14</v>
      </c>
      <c r="D94" s="14" t="s">
        <v>352</v>
      </c>
      <c r="E94" s="41">
        <v>6</v>
      </c>
      <c r="F94" s="41"/>
      <c r="G94" s="89">
        <f aca="true" t="shared" si="5" ref="G94:M94">G820</f>
        <v>334.67</v>
      </c>
      <c r="H94" s="86">
        <f t="shared" si="5"/>
        <v>29300995.88</v>
      </c>
      <c r="I94" s="89">
        <f t="shared" si="5"/>
        <v>343.68</v>
      </c>
      <c r="J94" s="86">
        <f t="shared" si="5"/>
        <v>29773184.12</v>
      </c>
      <c r="K94" s="86"/>
      <c r="L94" s="89">
        <f t="shared" si="5"/>
        <v>339.98</v>
      </c>
      <c r="M94" s="86">
        <f t="shared" si="5"/>
        <v>32754372</v>
      </c>
    </row>
    <row r="95" spans="1:13" ht="12">
      <c r="A95" s="41">
        <v>7</v>
      </c>
      <c r="B95" s="41"/>
      <c r="C95" s="4" t="s">
        <v>59</v>
      </c>
      <c r="D95" s="14" t="s">
        <v>353</v>
      </c>
      <c r="E95" s="41">
        <v>7</v>
      </c>
      <c r="F95" s="41"/>
      <c r="G95" s="89">
        <f aca="true" t="shared" si="6" ref="G95:M95">G856</f>
        <v>383.1</v>
      </c>
      <c r="H95" s="86">
        <f t="shared" si="6"/>
        <v>44487775.42000001</v>
      </c>
      <c r="I95" s="89">
        <f t="shared" si="6"/>
        <v>397.79999999999995</v>
      </c>
      <c r="J95" s="86">
        <f t="shared" si="6"/>
        <v>45744039.36</v>
      </c>
      <c r="K95" s="86"/>
      <c r="L95" s="89">
        <f t="shared" si="6"/>
        <v>398.09999999999997</v>
      </c>
      <c r="M95" s="86">
        <f t="shared" si="6"/>
        <v>50256054</v>
      </c>
    </row>
    <row r="96" spans="1:13" ht="12">
      <c r="A96" s="41">
        <v>8</v>
      </c>
      <c r="B96" s="41"/>
      <c r="C96" s="4" t="s">
        <v>354</v>
      </c>
      <c r="D96" s="14" t="s">
        <v>355</v>
      </c>
      <c r="E96" s="41">
        <v>8</v>
      </c>
      <c r="F96" s="41"/>
      <c r="G96" s="89">
        <v>0</v>
      </c>
      <c r="H96" s="86">
        <f>H907</f>
        <v>26271359</v>
      </c>
      <c r="I96" s="89">
        <v>0</v>
      </c>
      <c r="J96" s="86">
        <f>J907</f>
        <v>23556771.54</v>
      </c>
      <c r="K96" s="86"/>
      <c r="L96" s="89">
        <v>0</v>
      </c>
      <c r="M96" s="86">
        <f>M907</f>
        <v>30459707</v>
      </c>
    </row>
    <row r="97" spans="1:13" ht="12">
      <c r="A97" s="41">
        <v>9</v>
      </c>
      <c r="B97" s="41"/>
      <c r="C97" s="4" t="s">
        <v>101</v>
      </c>
      <c r="D97" s="14" t="s">
        <v>356</v>
      </c>
      <c r="E97" s="41">
        <v>9</v>
      </c>
      <c r="F97" s="41"/>
      <c r="G97" s="89">
        <f aca="true" t="shared" si="7" ref="G97:M97">G946</f>
        <v>0</v>
      </c>
      <c r="H97" s="86">
        <f t="shared" si="7"/>
        <v>0</v>
      </c>
      <c r="I97" s="89">
        <f t="shared" si="7"/>
        <v>0</v>
      </c>
      <c r="J97" s="86">
        <f t="shared" si="7"/>
        <v>0</v>
      </c>
      <c r="K97" s="86"/>
      <c r="L97" s="89">
        <f t="shared" si="7"/>
        <v>0</v>
      </c>
      <c r="M97" s="86">
        <f t="shared" si="7"/>
        <v>0</v>
      </c>
    </row>
    <row r="98" spans="1:13" ht="12">
      <c r="A98" s="41">
        <v>10</v>
      </c>
      <c r="B98" s="41"/>
      <c r="C98" s="4" t="s">
        <v>16</v>
      </c>
      <c r="D98" s="14" t="s">
        <v>357</v>
      </c>
      <c r="E98" s="41">
        <v>10</v>
      </c>
      <c r="F98" s="41"/>
      <c r="G98" s="89">
        <f aca="true" t="shared" si="8" ref="G98:M98">G981</f>
        <v>0</v>
      </c>
      <c r="H98" s="86">
        <f t="shared" si="8"/>
        <v>54198646.120000005</v>
      </c>
      <c r="I98" s="89">
        <f t="shared" si="8"/>
        <v>0</v>
      </c>
      <c r="J98" s="86">
        <f t="shared" si="8"/>
        <v>53578368.940000005</v>
      </c>
      <c r="K98" s="86"/>
      <c r="L98" s="89">
        <f t="shared" si="8"/>
        <v>0</v>
      </c>
      <c r="M98" s="86">
        <f t="shared" si="8"/>
        <v>39849980</v>
      </c>
    </row>
    <row r="99" spans="1:13" ht="12">
      <c r="A99" s="15"/>
      <c r="B99" s="15"/>
      <c r="C99" s="15"/>
      <c r="D99" s="15"/>
      <c r="E99" s="15"/>
      <c r="F99" s="15"/>
      <c r="G99" s="24" t="s">
        <v>1</v>
      </c>
      <c r="H99" s="176" t="s">
        <v>1</v>
      </c>
      <c r="I99" s="24" t="s">
        <v>1</v>
      </c>
      <c r="J99" s="176" t="s">
        <v>1</v>
      </c>
      <c r="K99" s="176"/>
      <c r="L99" s="24" t="s">
        <v>1</v>
      </c>
      <c r="M99" s="176" t="s">
        <v>1</v>
      </c>
    </row>
    <row r="100" spans="1:13" ht="12">
      <c r="A100" s="5">
        <v>11</v>
      </c>
      <c r="C100" s="4" t="s">
        <v>265</v>
      </c>
      <c r="E100" s="5">
        <v>11</v>
      </c>
      <c r="G100" s="89">
        <f aca="true" t="shared" si="9" ref="G100:M100">SUM(G89:G98)</f>
        <v>3505.9699999999993</v>
      </c>
      <c r="H100" s="86">
        <f t="shared" si="9"/>
        <v>415929282.29</v>
      </c>
      <c r="I100" s="89">
        <f t="shared" si="9"/>
        <v>3580.2799999999997</v>
      </c>
      <c r="J100" s="86">
        <f t="shared" si="9"/>
        <v>434394529.06000006</v>
      </c>
      <c r="K100" s="86"/>
      <c r="L100" s="89">
        <f t="shared" si="9"/>
        <v>3610.08</v>
      </c>
      <c r="M100" s="86">
        <f t="shared" si="9"/>
        <v>464756240</v>
      </c>
    </row>
    <row r="101" spans="3:13" ht="12">
      <c r="C101" s="4"/>
      <c r="G101" s="89"/>
      <c r="H101" s="86"/>
      <c r="I101" s="89"/>
      <c r="J101" s="86"/>
      <c r="K101" s="86"/>
      <c r="L101" s="89"/>
      <c r="M101" s="86"/>
    </row>
    <row r="102" spans="1:13" ht="12">
      <c r="A102" s="15"/>
      <c r="B102" s="15"/>
      <c r="C102" s="15"/>
      <c r="D102" s="15"/>
      <c r="E102" s="15"/>
      <c r="F102" s="15"/>
      <c r="G102" s="24" t="s">
        <v>1</v>
      </c>
      <c r="H102" s="176" t="s">
        <v>1</v>
      </c>
      <c r="I102" s="24" t="s">
        <v>1</v>
      </c>
      <c r="J102" s="176" t="s">
        <v>1</v>
      </c>
      <c r="K102" s="176"/>
      <c r="L102" s="24" t="s">
        <v>1</v>
      </c>
      <c r="M102" s="176" t="s">
        <v>1</v>
      </c>
    </row>
    <row r="103" spans="1:13" ht="12">
      <c r="A103" s="5">
        <v>12</v>
      </c>
      <c r="C103" s="4" t="s">
        <v>602</v>
      </c>
      <c r="E103" s="5">
        <v>12</v>
      </c>
      <c r="G103" s="71"/>
      <c r="H103" s="86"/>
      <c r="I103" s="71"/>
      <c r="J103" s="86"/>
      <c r="K103" s="86"/>
      <c r="L103" s="71"/>
      <c r="M103" s="86"/>
    </row>
    <row r="104" spans="1:13" ht="12">
      <c r="A104" s="41">
        <v>13</v>
      </c>
      <c r="B104" s="41"/>
      <c r="C104" s="4" t="s">
        <v>226</v>
      </c>
      <c r="D104" s="14" t="s">
        <v>358</v>
      </c>
      <c r="E104" s="41">
        <v>13</v>
      </c>
      <c r="F104" s="41"/>
      <c r="G104" s="77"/>
      <c r="H104" s="86">
        <f>H557</f>
        <v>37940212</v>
      </c>
      <c r="I104" s="77"/>
      <c r="J104" s="86">
        <f>J557</f>
        <v>40614978</v>
      </c>
      <c r="K104" s="86"/>
      <c r="L104" s="77"/>
      <c r="M104" s="86">
        <f>M557</f>
        <v>42785088</v>
      </c>
    </row>
    <row r="105" spans="1:13" ht="12">
      <c r="A105" s="41">
        <v>14</v>
      </c>
      <c r="B105" s="41"/>
      <c r="C105" s="4" t="s">
        <v>227</v>
      </c>
      <c r="D105" s="14" t="s">
        <v>359</v>
      </c>
      <c r="E105" s="41">
        <v>14</v>
      </c>
      <c r="F105" s="41"/>
      <c r="G105" s="77"/>
      <c r="H105" s="86">
        <f>H594</f>
        <v>22614603.61</v>
      </c>
      <c r="I105" s="77"/>
      <c r="J105" s="86">
        <f>J594</f>
        <v>31216968</v>
      </c>
      <c r="K105" s="86"/>
      <c r="L105" s="77"/>
      <c r="M105" s="86">
        <f>M594</f>
        <v>36634283</v>
      </c>
    </row>
    <row r="106" spans="1:13" ht="12">
      <c r="A106" s="41">
        <v>15</v>
      </c>
      <c r="B106" s="41"/>
      <c r="C106" s="4" t="s">
        <v>256</v>
      </c>
      <c r="D106" s="14" t="s">
        <v>360</v>
      </c>
      <c r="E106" s="41">
        <v>15</v>
      </c>
      <c r="F106" s="41"/>
      <c r="G106" s="77"/>
      <c r="H106" s="86">
        <f>H533</f>
        <v>37940212</v>
      </c>
      <c r="I106" s="77"/>
      <c r="J106" s="86">
        <f>J534</f>
        <v>40614978</v>
      </c>
      <c r="K106" s="86"/>
      <c r="L106" s="77"/>
      <c r="M106" s="86">
        <f>M535</f>
        <v>42785088</v>
      </c>
    </row>
    <row r="107" spans="1:13" ht="12">
      <c r="A107" s="41">
        <v>16</v>
      </c>
      <c r="B107" s="41"/>
      <c r="C107" s="4" t="s">
        <v>255</v>
      </c>
      <c r="D107" s="14"/>
      <c r="E107" s="41">
        <v>16</v>
      </c>
      <c r="F107" s="41"/>
      <c r="G107" s="77"/>
      <c r="H107" s="192">
        <f>H108-H106</f>
        <v>86097203.25999999</v>
      </c>
      <c r="I107" s="77"/>
      <c r="J107" s="192">
        <f>J108-J106</f>
        <v>88948375.97999999</v>
      </c>
      <c r="K107" s="192"/>
      <c r="L107" s="77"/>
      <c r="M107" s="192">
        <f>M108-M106</f>
        <v>101294072</v>
      </c>
    </row>
    <row r="108" spans="1:13" ht="12">
      <c r="A108" s="41">
        <v>17</v>
      </c>
      <c r="B108" s="41"/>
      <c r="C108" s="4" t="s">
        <v>361</v>
      </c>
      <c r="D108" s="14" t="s">
        <v>362</v>
      </c>
      <c r="E108" s="41">
        <v>17</v>
      </c>
      <c r="F108" s="41"/>
      <c r="G108" s="77"/>
      <c r="H108" s="86">
        <f>H402</f>
        <v>124037415.25999999</v>
      </c>
      <c r="I108" s="77"/>
      <c r="J108" s="86">
        <f>J402</f>
        <v>129563353.97999999</v>
      </c>
      <c r="K108" s="86"/>
      <c r="L108" s="77"/>
      <c r="M108" s="86">
        <f>M402</f>
        <v>144079160</v>
      </c>
    </row>
    <row r="109" spans="1:13" ht="12">
      <c r="A109" s="41">
        <v>18</v>
      </c>
      <c r="B109" s="41"/>
      <c r="C109" s="4" t="s">
        <v>258</v>
      </c>
      <c r="D109" s="14" t="s">
        <v>363</v>
      </c>
      <c r="E109" s="41">
        <v>18</v>
      </c>
      <c r="F109" s="41"/>
      <c r="G109" s="77"/>
      <c r="H109" s="86">
        <f>H401</f>
        <v>18752438.28</v>
      </c>
      <c r="I109" s="77"/>
      <c r="J109" s="86">
        <f>J401</f>
        <v>21392299.95</v>
      </c>
      <c r="K109" s="86"/>
      <c r="L109" s="77"/>
      <c r="M109" s="86">
        <f>M401</f>
        <v>22840884</v>
      </c>
    </row>
    <row r="110" spans="1:13" ht="12">
      <c r="A110" s="41">
        <v>19</v>
      </c>
      <c r="B110" s="41"/>
      <c r="C110" s="4" t="s">
        <v>364</v>
      </c>
      <c r="D110" s="14" t="s">
        <v>365</v>
      </c>
      <c r="E110" s="41">
        <v>19</v>
      </c>
      <c r="F110" s="41"/>
      <c r="G110" s="77"/>
      <c r="H110" s="86">
        <f>H407</f>
        <v>186977312.63000003</v>
      </c>
      <c r="I110" s="77"/>
      <c r="J110" s="86">
        <f>J407</f>
        <v>196907140.76999998</v>
      </c>
      <c r="K110" s="86"/>
      <c r="L110" s="77"/>
      <c r="M110" s="86">
        <f>M407</f>
        <v>197787573</v>
      </c>
    </row>
    <row r="111" spans="1:13" ht="12">
      <c r="A111" s="41">
        <v>20</v>
      </c>
      <c r="B111" s="41"/>
      <c r="C111" s="4" t="s">
        <v>173</v>
      </c>
      <c r="D111" s="14" t="s">
        <v>366</v>
      </c>
      <c r="E111" s="41">
        <v>20</v>
      </c>
      <c r="F111" s="41"/>
      <c r="G111" s="77"/>
      <c r="H111" s="86">
        <f>H411</f>
        <v>329767166.17</v>
      </c>
      <c r="I111" s="77"/>
      <c r="J111" s="86">
        <f>J411</f>
        <v>347862794.7</v>
      </c>
      <c r="K111" s="86"/>
      <c r="L111" s="77"/>
      <c r="M111" s="86">
        <f>M411</f>
        <v>364707617</v>
      </c>
    </row>
    <row r="112" spans="1:13" ht="12">
      <c r="A112" s="41">
        <v>21</v>
      </c>
      <c r="B112" s="41"/>
      <c r="C112" s="4" t="s">
        <v>367</v>
      </c>
      <c r="D112" s="14" t="s">
        <v>368</v>
      </c>
      <c r="E112" s="41">
        <v>21</v>
      </c>
      <c r="F112" s="41"/>
      <c r="G112" s="77"/>
      <c r="H112" s="86">
        <f>H453</f>
        <v>12814433.89</v>
      </c>
      <c r="I112" s="77"/>
      <c r="J112" s="86">
        <f>J453</f>
        <v>9698871.07</v>
      </c>
      <c r="K112" s="86"/>
      <c r="L112" s="77"/>
      <c r="M112" s="86">
        <f>M453</f>
        <v>14774400</v>
      </c>
    </row>
    <row r="113" spans="1:13" ht="12">
      <c r="A113" s="15"/>
      <c r="B113" s="15"/>
      <c r="C113" s="15"/>
      <c r="D113" s="15"/>
      <c r="E113" s="15"/>
      <c r="F113" s="15"/>
      <c r="G113" s="24" t="s">
        <v>1</v>
      </c>
      <c r="H113" s="176" t="s">
        <v>1</v>
      </c>
      <c r="I113" s="24" t="s">
        <v>1</v>
      </c>
      <c r="J113" s="176" t="s">
        <v>1</v>
      </c>
      <c r="K113" s="176"/>
      <c r="L113" s="24" t="s">
        <v>1</v>
      </c>
      <c r="M113" s="176" t="s">
        <v>1</v>
      </c>
    </row>
    <row r="114" spans="1:13" ht="12">
      <c r="A114" s="41">
        <v>22</v>
      </c>
      <c r="B114" s="41"/>
      <c r="C114" s="5" t="s">
        <v>369</v>
      </c>
      <c r="D114" s="76"/>
      <c r="E114" s="41">
        <v>22</v>
      </c>
      <c r="F114" s="41"/>
      <c r="G114" s="177"/>
      <c r="H114" s="86">
        <f>SUM(H104-H106,H105,H111,H112)</f>
        <v>365196203.67</v>
      </c>
      <c r="I114" s="177"/>
      <c r="J114" s="86">
        <f>SUM(J104-J106,J105,J111,J112)</f>
        <v>388778633.77</v>
      </c>
      <c r="K114" s="86"/>
      <c r="L114" s="177"/>
      <c r="M114" s="86">
        <f>SUM(M104-M106,M105,M111,M112)</f>
        <v>416116300</v>
      </c>
    </row>
    <row r="115" spans="1:13" ht="12">
      <c r="A115" s="41"/>
      <c r="B115" s="41"/>
      <c r="C115" s="7"/>
      <c r="D115" s="4"/>
      <c r="E115" s="41"/>
      <c r="F115" s="41"/>
      <c r="G115" s="77"/>
      <c r="H115" s="86"/>
      <c r="J115" s="86"/>
      <c r="K115" s="86"/>
      <c r="M115" s="86"/>
    </row>
    <row r="116" spans="1:13" ht="12">
      <c r="A116" s="41">
        <v>23</v>
      </c>
      <c r="B116" s="41"/>
      <c r="C116" s="4" t="s">
        <v>370</v>
      </c>
      <c r="D116" s="14" t="s">
        <v>371</v>
      </c>
      <c r="E116" s="41">
        <v>23</v>
      </c>
      <c r="F116" s="41"/>
      <c r="H116" s="86">
        <f>H490</f>
        <v>50733077.88</v>
      </c>
      <c r="J116" s="86">
        <f>J490</f>
        <v>45615894.94</v>
      </c>
      <c r="K116" s="86"/>
      <c r="M116" s="86">
        <f>M490</f>
        <v>47605203</v>
      </c>
    </row>
    <row r="117" spans="1:13" ht="12">
      <c r="A117" s="15"/>
      <c r="B117" s="15"/>
      <c r="C117" s="15"/>
      <c r="D117" s="15"/>
      <c r="E117" s="15"/>
      <c r="F117" s="15"/>
      <c r="G117" s="18" t="s">
        <v>1</v>
      </c>
      <c r="H117" s="176" t="s">
        <v>1</v>
      </c>
      <c r="I117" s="18" t="s">
        <v>1</v>
      </c>
      <c r="J117" s="176" t="s">
        <v>1</v>
      </c>
      <c r="K117" s="176"/>
      <c r="L117" s="18" t="s">
        <v>1</v>
      </c>
      <c r="M117" s="176" t="s">
        <v>1</v>
      </c>
    </row>
    <row r="118" spans="1:13" ht="12">
      <c r="A118" s="41">
        <v>24</v>
      </c>
      <c r="B118" s="41"/>
      <c r="C118" s="4" t="s">
        <v>266</v>
      </c>
      <c r="E118" s="41">
        <v>24</v>
      </c>
      <c r="F118" s="41"/>
      <c r="G118" s="71"/>
      <c r="H118" s="86">
        <f>SUM(H114:H116)</f>
        <v>415929281.55</v>
      </c>
      <c r="I118" s="71"/>
      <c r="J118" s="86">
        <f>SUM(J114:J116)</f>
        <v>434394528.71</v>
      </c>
      <c r="K118" s="86"/>
      <c r="L118" s="71"/>
      <c r="M118" s="86">
        <f>SUM(M114:M116)</f>
        <v>463721503</v>
      </c>
    </row>
    <row r="119" spans="1:13" ht="12">
      <c r="A119" s="15"/>
      <c r="B119" s="15"/>
      <c r="C119" s="15"/>
      <c r="D119" s="15"/>
      <c r="E119" s="15"/>
      <c r="F119" s="15"/>
      <c r="G119" s="18" t="s">
        <v>1</v>
      </c>
      <c r="H119" s="176" t="s">
        <v>1</v>
      </c>
      <c r="I119" s="18" t="s">
        <v>1</v>
      </c>
      <c r="J119" s="176" t="s">
        <v>1</v>
      </c>
      <c r="K119" s="176"/>
      <c r="L119" s="18" t="s">
        <v>1</v>
      </c>
      <c r="M119" s="176" t="s">
        <v>1</v>
      </c>
    </row>
    <row r="120" spans="1:13" ht="12">
      <c r="A120" s="5">
        <v>25</v>
      </c>
      <c r="C120" s="5" t="s">
        <v>102</v>
      </c>
      <c r="D120" s="14"/>
      <c r="E120" s="5">
        <v>25</v>
      </c>
      <c r="G120" s="18"/>
      <c r="H120" s="192">
        <f>H414</f>
        <v>41385980.69</v>
      </c>
      <c r="I120" s="18"/>
      <c r="J120" s="192">
        <f>J414</f>
        <v>41263047</v>
      </c>
      <c r="K120" s="192"/>
      <c r="L120" s="18"/>
      <c r="M120" s="192">
        <f>M414</f>
        <v>47124143</v>
      </c>
    </row>
    <row r="121" spans="5:13" ht="7.5" customHeight="1">
      <c r="E121" s="38"/>
      <c r="F121" s="38"/>
      <c r="G121" s="71"/>
      <c r="I121" s="86"/>
      <c r="J121" s="86"/>
      <c r="K121" s="86"/>
      <c r="M121" s="86"/>
    </row>
    <row r="122" spans="5:13" ht="7.5" customHeight="1">
      <c r="E122" s="38"/>
      <c r="F122" s="38"/>
      <c r="G122" s="71"/>
      <c r="I122" s="86"/>
      <c r="J122" s="86"/>
      <c r="K122" s="86"/>
      <c r="M122" s="86"/>
    </row>
    <row r="123" spans="5:13" ht="7.5" customHeight="1">
      <c r="E123" s="38"/>
      <c r="F123" s="38"/>
      <c r="G123" s="71"/>
      <c r="I123" s="86"/>
      <c r="J123" s="86"/>
      <c r="K123" s="86"/>
      <c r="M123" s="86"/>
    </row>
    <row r="124" spans="5:13" ht="7.5" customHeight="1">
      <c r="E124" s="38"/>
      <c r="F124" s="38"/>
      <c r="G124" s="71"/>
      <c r="I124" s="86"/>
      <c r="J124" s="86"/>
      <c r="K124" s="86"/>
      <c r="M124" s="86"/>
    </row>
    <row r="125" spans="5:13" ht="7.5" customHeight="1">
      <c r="E125" s="38"/>
      <c r="F125" s="38"/>
      <c r="G125" s="71"/>
      <c r="I125" s="86"/>
      <c r="J125" s="86"/>
      <c r="K125" s="86"/>
      <c r="M125" s="86"/>
    </row>
    <row r="126" spans="5:13" ht="7.5" customHeight="1">
      <c r="E126" s="38"/>
      <c r="F126" s="38"/>
      <c r="G126" s="71"/>
      <c r="I126" s="86"/>
      <c r="J126" s="86"/>
      <c r="K126" s="86"/>
      <c r="M126" s="86"/>
    </row>
    <row r="127" spans="5:13" ht="7.5" customHeight="1">
      <c r="E127" s="38"/>
      <c r="F127" s="38"/>
      <c r="G127" s="71"/>
      <c r="I127" s="86"/>
      <c r="J127" s="86"/>
      <c r="K127" s="86"/>
      <c r="M127" s="86"/>
    </row>
    <row r="128" spans="5:13" ht="7.5" customHeight="1">
      <c r="E128" s="38"/>
      <c r="F128" s="38"/>
      <c r="G128" s="71"/>
      <c r="I128" s="86"/>
      <c r="J128" s="86"/>
      <c r="K128" s="86"/>
      <c r="M128" s="86"/>
    </row>
    <row r="129" spans="5:13" ht="7.5" customHeight="1">
      <c r="E129" s="38"/>
      <c r="F129" s="38"/>
      <c r="G129" s="71"/>
      <c r="I129" s="86"/>
      <c r="J129" s="86"/>
      <c r="K129" s="86"/>
      <c r="M129" s="86"/>
    </row>
    <row r="130" spans="5:13" ht="7.5" customHeight="1">
      <c r="E130" s="38"/>
      <c r="F130" s="38"/>
      <c r="G130" s="71"/>
      <c r="I130" s="86"/>
      <c r="J130" s="86"/>
      <c r="K130" s="86"/>
      <c r="M130" s="86"/>
    </row>
    <row r="131" spans="5:13" ht="7.5" customHeight="1">
      <c r="E131" s="38"/>
      <c r="F131" s="38"/>
      <c r="G131" s="71"/>
      <c r="I131" s="86"/>
      <c r="J131" s="86"/>
      <c r="K131" s="86"/>
      <c r="M131" s="86"/>
    </row>
    <row r="132" spans="5:13" ht="7.5" customHeight="1">
      <c r="E132" s="38"/>
      <c r="F132" s="38"/>
      <c r="G132" s="71"/>
      <c r="I132" s="86"/>
      <c r="J132" s="86"/>
      <c r="K132" s="86"/>
      <c r="M132" s="86"/>
    </row>
    <row r="133" spans="5:13" ht="7.5" customHeight="1">
      <c r="E133" s="38"/>
      <c r="F133" s="38"/>
      <c r="G133" s="71"/>
      <c r="I133" s="86"/>
      <c r="J133" s="86"/>
      <c r="K133" s="86"/>
      <c r="M133" s="86"/>
    </row>
    <row r="134" spans="5:13" ht="7.5" customHeight="1">
      <c r="E134" s="38"/>
      <c r="F134" s="38"/>
      <c r="G134" s="71"/>
      <c r="I134" s="86"/>
      <c r="J134" s="86"/>
      <c r="K134" s="86"/>
      <c r="M134" s="86"/>
    </row>
    <row r="135" spans="5:13" ht="7.5" customHeight="1">
      <c r="E135" s="38"/>
      <c r="F135" s="38"/>
      <c r="G135" s="71"/>
      <c r="I135" s="86"/>
      <c r="J135" s="86"/>
      <c r="K135" s="86"/>
      <c r="M135" s="86"/>
    </row>
    <row r="136" spans="5:13" ht="7.5" customHeight="1">
      <c r="E136" s="38"/>
      <c r="F136" s="38"/>
      <c r="G136" s="71"/>
      <c r="I136" s="86"/>
      <c r="J136" s="86"/>
      <c r="K136" s="86"/>
      <c r="M136" s="86"/>
    </row>
    <row r="137" spans="5:13" ht="7.5" customHeight="1">
      <c r="E137" s="38"/>
      <c r="F137" s="38"/>
      <c r="G137" s="71"/>
      <c r="I137" s="86"/>
      <c r="J137" s="86"/>
      <c r="K137" s="86"/>
      <c r="M137" s="86"/>
    </row>
    <row r="138" spans="5:13" ht="7.5" customHeight="1">
      <c r="E138" s="38"/>
      <c r="F138" s="38"/>
      <c r="G138" s="71"/>
      <c r="I138" s="86"/>
      <c r="J138" s="86"/>
      <c r="K138" s="86"/>
      <c r="M138" s="86"/>
    </row>
    <row r="139" spans="5:13" ht="7.5" customHeight="1">
      <c r="E139" s="38"/>
      <c r="F139" s="38"/>
      <c r="G139" s="71"/>
      <c r="I139" s="86"/>
      <c r="J139" s="86"/>
      <c r="K139" s="86"/>
      <c r="M139" s="86"/>
    </row>
    <row r="140" spans="5:13" ht="7.5" customHeight="1">
      <c r="E140" s="38"/>
      <c r="F140" s="38"/>
      <c r="G140" s="71"/>
      <c r="I140" s="86"/>
      <c r="J140" s="86"/>
      <c r="K140" s="86"/>
      <c r="M140" s="86"/>
    </row>
    <row r="141" spans="5:13" ht="7.5" customHeight="1">
      <c r="E141" s="38"/>
      <c r="F141" s="38"/>
      <c r="G141" s="71"/>
      <c r="I141" s="86"/>
      <c r="J141" s="86"/>
      <c r="K141" s="86"/>
      <c r="M141" s="86"/>
    </row>
    <row r="142" spans="5:13" ht="7.5" customHeight="1">
      <c r="E142" s="38"/>
      <c r="F142" s="38"/>
      <c r="G142" s="71"/>
      <c r="I142" s="86"/>
      <c r="J142" s="86"/>
      <c r="K142" s="86"/>
      <c r="M142" s="86"/>
    </row>
    <row r="143" spans="5:13" ht="7.5" customHeight="1">
      <c r="E143" s="38"/>
      <c r="F143" s="38"/>
      <c r="G143" s="71"/>
      <c r="I143" s="86"/>
      <c r="J143" s="86"/>
      <c r="K143" s="86"/>
      <c r="M143" s="86"/>
    </row>
    <row r="144" spans="5:13" ht="7.5" customHeight="1">
      <c r="E144" s="38"/>
      <c r="F144" s="38"/>
      <c r="G144" s="71"/>
      <c r="I144" s="86"/>
      <c r="J144" s="86"/>
      <c r="K144" s="86"/>
      <c r="M144" s="86"/>
    </row>
    <row r="145" spans="5:13" ht="7.5" customHeight="1">
      <c r="E145" s="38"/>
      <c r="F145" s="38"/>
      <c r="G145" s="71"/>
      <c r="I145" s="86"/>
      <c r="J145" s="86"/>
      <c r="K145" s="86"/>
      <c r="M145" s="86"/>
    </row>
    <row r="146" spans="5:13" ht="7.5" customHeight="1">
      <c r="E146" s="38"/>
      <c r="F146" s="38"/>
      <c r="G146" s="71"/>
      <c r="I146" s="86"/>
      <c r="J146" s="86"/>
      <c r="K146" s="86"/>
      <c r="M146" s="86"/>
    </row>
    <row r="147" spans="5:13" ht="7.5" customHeight="1">
      <c r="E147" s="38"/>
      <c r="F147" s="38"/>
      <c r="G147" s="71"/>
      <c r="I147" s="86"/>
      <c r="J147" s="86"/>
      <c r="K147" s="86"/>
      <c r="M147" s="86"/>
    </row>
    <row r="148" spans="5:13" ht="7.5" customHeight="1">
      <c r="E148" s="38"/>
      <c r="F148" s="38"/>
      <c r="G148" s="71"/>
      <c r="I148" s="86"/>
      <c r="J148" s="86"/>
      <c r="K148" s="86"/>
      <c r="M148" s="86"/>
    </row>
    <row r="149" spans="5:13" ht="7.5" customHeight="1">
      <c r="E149" s="38"/>
      <c r="F149" s="38"/>
      <c r="G149" s="71"/>
      <c r="I149" s="86"/>
      <c r="J149" s="86"/>
      <c r="K149" s="86"/>
      <c r="M149" s="86"/>
    </row>
    <row r="150" spans="5:13" ht="7.5" customHeight="1">
      <c r="E150" s="38"/>
      <c r="F150" s="38"/>
      <c r="G150" s="71"/>
      <c r="I150" s="86"/>
      <c r="J150" s="86"/>
      <c r="K150" s="86"/>
      <c r="M150" s="86"/>
    </row>
    <row r="151" spans="5:13" ht="7.5" customHeight="1">
      <c r="E151" s="38"/>
      <c r="F151" s="38"/>
      <c r="G151" s="71"/>
      <c r="I151" s="86"/>
      <c r="J151" s="86"/>
      <c r="K151" s="86"/>
      <c r="M151" s="86"/>
    </row>
    <row r="152" spans="5:13" ht="7.5" customHeight="1">
      <c r="E152" s="38"/>
      <c r="F152" s="38"/>
      <c r="G152" s="71"/>
      <c r="I152" s="86"/>
      <c r="J152" s="86"/>
      <c r="K152" s="86"/>
      <c r="M152" s="86"/>
    </row>
    <row r="153" spans="5:13" ht="7.5" customHeight="1">
      <c r="E153" s="38"/>
      <c r="F153" s="38"/>
      <c r="G153" s="71"/>
      <c r="I153" s="86"/>
      <c r="J153" s="86"/>
      <c r="K153" s="86"/>
      <c r="M153" s="86"/>
    </row>
    <row r="154" spans="5:13" ht="7.5" customHeight="1">
      <c r="E154" s="38"/>
      <c r="F154" s="38"/>
      <c r="G154" s="71"/>
      <c r="I154" s="86"/>
      <c r="J154" s="86"/>
      <c r="K154" s="86"/>
      <c r="M154" s="86"/>
    </row>
    <row r="155" spans="5:13" ht="7.5" customHeight="1">
      <c r="E155" s="38"/>
      <c r="F155" s="38"/>
      <c r="G155" s="71"/>
      <c r="I155" s="86"/>
      <c r="J155" s="86"/>
      <c r="K155" s="86"/>
      <c r="M155" s="86"/>
    </row>
    <row r="156" spans="5:13" ht="7.5" customHeight="1">
      <c r="E156" s="38"/>
      <c r="F156" s="38"/>
      <c r="G156" s="71"/>
      <c r="I156" s="86"/>
      <c r="J156" s="86"/>
      <c r="K156" s="86"/>
      <c r="M156" s="86"/>
    </row>
    <row r="157" spans="5:13" ht="7.5" customHeight="1">
      <c r="E157" s="38"/>
      <c r="F157" s="38"/>
      <c r="G157" s="71"/>
      <c r="I157" s="86"/>
      <c r="J157" s="86"/>
      <c r="K157" s="86"/>
      <c r="M157" s="86"/>
    </row>
    <row r="158" spans="5:13" ht="7.5" customHeight="1">
      <c r="E158" s="38"/>
      <c r="F158" s="38"/>
      <c r="G158" s="71"/>
      <c r="I158" s="86"/>
      <c r="J158" s="86"/>
      <c r="K158" s="86"/>
      <c r="M158" s="86"/>
    </row>
    <row r="159" spans="5:13" ht="7.5" customHeight="1">
      <c r="E159" s="38"/>
      <c r="F159" s="38"/>
      <c r="G159" s="71"/>
      <c r="I159" s="86"/>
      <c r="J159" s="86"/>
      <c r="K159" s="86"/>
      <c r="M159" s="86"/>
    </row>
    <row r="160" spans="5:13" ht="7.5" customHeight="1">
      <c r="E160" s="38"/>
      <c r="F160" s="38"/>
      <c r="G160" s="71"/>
      <c r="I160" s="86"/>
      <c r="J160" s="86"/>
      <c r="K160" s="86"/>
      <c r="M160" s="86"/>
    </row>
    <row r="161" spans="5:13" ht="7.5" customHeight="1">
      <c r="E161" s="38"/>
      <c r="F161" s="38"/>
      <c r="G161" s="71"/>
      <c r="I161" s="86"/>
      <c r="J161" s="86"/>
      <c r="K161" s="86"/>
      <c r="M161" s="86"/>
    </row>
    <row r="162" spans="5:13" ht="7.5" customHeight="1">
      <c r="E162" s="38"/>
      <c r="F162" s="38"/>
      <c r="G162" s="71"/>
      <c r="I162" s="86"/>
      <c r="J162" s="86"/>
      <c r="K162" s="86"/>
      <c r="M162" s="86"/>
    </row>
    <row r="163" spans="5:13" ht="7.5" customHeight="1">
      <c r="E163" s="38"/>
      <c r="F163" s="38"/>
      <c r="G163" s="71"/>
      <c r="I163" s="86"/>
      <c r="J163" s="86"/>
      <c r="K163" s="86"/>
      <c r="M163" s="86"/>
    </row>
    <row r="164" spans="5:13" ht="7.5" customHeight="1">
      <c r="E164" s="38"/>
      <c r="F164" s="38"/>
      <c r="G164" s="71"/>
      <c r="I164" s="86"/>
      <c r="J164" s="86"/>
      <c r="K164" s="86"/>
      <c r="M164" s="86"/>
    </row>
    <row r="165" spans="5:13" ht="7.5" customHeight="1">
      <c r="E165" s="38"/>
      <c r="F165" s="38"/>
      <c r="G165" s="71"/>
      <c r="I165" s="86"/>
      <c r="J165" s="86"/>
      <c r="K165" s="86"/>
      <c r="M165" s="86"/>
    </row>
    <row r="166" spans="5:13" ht="7.5" customHeight="1">
      <c r="E166" s="38"/>
      <c r="F166" s="38"/>
      <c r="G166" s="71"/>
      <c r="I166" s="86"/>
      <c r="J166" s="86"/>
      <c r="K166" s="86"/>
      <c r="M166" s="86"/>
    </row>
    <row r="167" spans="5:13" ht="7.5" customHeight="1">
      <c r="E167" s="38"/>
      <c r="F167" s="38"/>
      <c r="G167" s="71"/>
      <c r="I167" s="86"/>
      <c r="J167" s="86"/>
      <c r="K167" s="86"/>
      <c r="M167" s="86"/>
    </row>
    <row r="168" spans="5:13" ht="7.5" customHeight="1">
      <c r="E168" s="38"/>
      <c r="F168" s="38"/>
      <c r="G168" s="71"/>
      <c r="I168" s="86"/>
      <c r="J168" s="86"/>
      <c r="K168" s="86"/>
      <c r="M168" s="86"/>
    </row>
    <row r="169" spans="5:13" ht="7.5" customHeight="1">
      <c r="E169" s="38"/>
      <c r="F169" s="38"/>
      <c r="G169" s="71"/>
      <c r="I169" s="86"/>
      <c r="J169" s="86"/>
      <c r="K169" s="86"/>
      <c r="M169" s="86"/>
    </row>
    <row r="170" spans="5:13" ht="7.5" customHeight="1">
      <c r="E170" s="38"/>
      <c r="F170" s="38"/>
      <c r="G170" s="71"/>
      <c r="I170" s="86"/>
      <c r="J170" s="86"/>
      <c r="K170" s="86"/>
      <c r="M170" s="86"/>
    </row>
    <row r="171" spans="5:13" ht="7.5" customHeight="1">
      <c r="E171" s="38"/>
      <c r="F171" s="38"/>
      <c r="G171" s="71"/>
      <c r="I171" s="86"/>
      <c r="J171" s="86"/>
      <c r="K171" s="86"/>
      <c r="M171" s="86"/>
    </row>
    <row r="172" spans="1:13" ht="12">
      <c r="A172" s="68" t="s">
        <v>372</v>
      </c>
      <c r="B172" s="68"/>
      <c r="E172" s="38"/>
      <c r="F172" s="38"/>
      <c r="G172" s="71"/>
      <c r="H172" s="86"/>
      <c r="I172" s="71"/>
      <c r="J172" s="86"/>
      <c r="K172" s="86"/>
      <c r="L172" s="71"/>
      <c r="M172" s="189" t="s">
        <v>128</v>
      </c>
    </row>
    <row r="173" spans="1:13" ht="12">
      <c r="A173" s="433" t="s">
        <v>373</v>
      </c>
      <c r="B173" s="433"/>
      <c r="C173" s="433"/>
      <c r="D173" s="433"/>
      <c r="E173" s="433"/>
      <c r="F173" s="433"/>
      <c r="G173" s="433"/>
      <c r="H173" s="433"/>
      <c r="I173" s="433"/>
      <c r="J173" s="433"/>
      <c r="K173" s="433"/>
      <c r="L173" s="433"/>
      <c r="M173" s="433"/>
    </row>
    <row r="174" spans="1:13" ht="12">
      <c r="A174" s="68" t="s">
        <v>345</v>
      </c>
      <c r="B174" s="68"/>
      <c r="J174" s="86"/>
      <c r="K174" s="86"/>
      <c r="L174" s="71"/>
      <c r="M174" s="190" t="s">
        <v>346</v>
      </c>
    </row>
    <row r="175" spans="1:13" ht="12">
      <c r="A175" s="15" t="s">
        <v>1</v>
      </c>
      <c r="B175" s="15"/>
      <c r="C175" s="15" t="s">
        <v>1</v>
      </c>
      <c r="D175" s="15" t="s">
        <v>1</v>
      </c>
      <c r="E175" s="15" t="s">
        <v>1</v>
      </c>
      <c r="F175" s="15"/>
      <c r="G175" s="15" t="s">
        <v>1</v>
      </c>
      <c r="H175" s="15" t="s">
        <v>1</v>
      </c>
      <c r="I175" s="15" t="s">
        <v>1</v>
      </c>
      <c r="J175" s="15" t="s">
        <v>1</v>
      </c>
      <c r="K175" s="15"/>
      <c r="L175" s="15" t="s">
        <v>1</v>
      </c>
      <c r="M175" s="15" t="s">
        <v>1</v>
      </c>
    </row>
    <row r="176" spans="1:13" ht="12">
      <c r="A176" s="73" t="s">
        <v>2</v>
      </c>
      <c r="B176" s="73"/>
      <c r="E176" s="73" t="s">
        <v>2</v>
      </c>
      <c r="F176" s="73"/>
      <c r="G176" s="71"/>
      <c r="H176" s="123" t="s">
        <v>172</v>
      </c>
      <c r="I176" s="89"/>
      <c r="J176" s="123" t="s">
        <v>280</v>
      </c>
      <c r="K176" s="123"/>
      <c r="L176" s="89"/>
      <c r="M176" s="123" t="s">
        <v>289</v>
      </c>
    </row>
    <row r="177" spans="1:13" ht="12">
      <c r="A177" s="73" t="s">
        <v>4</v>
      </c>
      <c r="B177" s="73"/>
      <c r="E177" s="73" t="s">
        <v>4</v>
      </c>
      <c r="F177" s="73"/>
      <c r="G177" s="71"/>
      <c r="H177" s="123" t="s">
        <v>7</v>
      </c>
      <c r="I177" s="71"/>
      <c r="J177" s="123" t="s">
        <v>7</v>
      </c>
      <c r="K177" s="123"/>
      <c r="L177" s="71"/>
      <c r="M177" s="123" t="s">
        <v>8</v>
      </c>
    </row>
    <row r="178" spans="1:13" ht="12">
      <c r="A178" s="15" t="s">
        <v>1</v>
      </c>
      <c r="B178" s="15"/>
      <c r="C178" s="15" t="s">
        <v>1</v>
      </c>
      <c r="D178" s="15" t="s">
        <v>1</v>
      </c>
      <c r="E178" s="15" t="s">
        <v>1</v>
      </c>
      <c r="F178" s="15"/>
      <c r="G178" s="15" t="s">
        <v>1</v>
      </c>
      <c r="H178" s="15" t="s">
        <v>1</v>
      </c>
      <c r="I178" s="15" t="s">
        <v>1</v>
      </c>
      <c r="J178" s="15" t="s">
        <v>1</v>
      </c>
      <c r="K178" s="15"/>
      <c r="L178" s="15" t="s">
        <v>1</v>
      </c>
      <c r="M178" s="15" t="s">
        <v>1</v>
      </c>
    </row>
    <row r="179" spans="1:13" ht="12">
      <c r="A179" s="41">
        <v>1</v>
      </c>
      <c r="B179" s="41"/>
      <c r="C179" s="4" t="s">
        <v>130</v>
      </c>
      <c r="E179" s="41">
        <v>1</v>
      </c>
      <c r="F179" s="41"/>
      <c r="G179" s="71"/>
      <c r="H179" s="86"/>
      <c r="I179" s="71"/>
      <c r="J179" s="86"/>
      <c r="K179" s="86"/>
      <c r="L179" s="71"/>
      <c r="M179" s="86"/>
    </row>
    <row r="180" spans="1:13" ht="12">
      <c r="A180" s="14" t="s">
        <v>228</v>
      </c>
      <c r="B180" s="14"/>
      <c r="C180" s="4" t="s">
        <v>603</v>
      </c>
      <c r="E180" s="14" t="s">
        <v>228</v>
      </c>
      <c r="F180" s="14"/>
      <c r="G180" s="71"/>
      <c r="H180" s="86"/>
      <c r="I180" s="71"/>
      <c r="J180" s="86"/>
      <c r="K180" s="86"/>
      <c r="L180" s="71"/>
      <c r="M180" s="86"/>
    </row>
    <row r="181" spans="1:13" ht="12">
      <c r="A181" s="14" t="s">
        <v>229</v>
      </c>
      <c r="B181" s="14"/>
      <c r="C181" s="4" t="s">
        <v>374</v>
      </c>
      <c r="E181" s="14" t="s">
        <v>229</v>
      </c>
      <c r="F181" s="14"/>
      <c r="G181" s="71"/>
      <c r="H181" s="86"/>
      <c r="I181" s="71"/>
      <c r="J181" s="86"/>
      <c r="K181" s="86"/>
      <c r="L181" s="71"/>
      <c r="M181" s="86"/>
    </row>
    <row r="182" spans="1:13" ht="12">
      <c r="A182" s="14" t="s">
        <v>230</v>
      </c>
      <c r="B182" s="14"/>
      <c r="C182" s="4" t="s">
        <v>375</v>
      </c>
      <c r="E182" s="14" t="s">
        <v>230</v>
      </c>
      <c r="F182" s="14"/>
      <c r="G182" s="71"/>
      <c r="H182" s="6">
        <f>G378+G384+G396</f>
        <v>16214.8</v>
      </c>
      <c r="I182" s="77"/>
      <c r="J182" s="6">
        <f>I378+I384+I396</f>
        <v>16044.9</v>
      </c>
      <c r="K182" s="6"/>
      <c r="L182" s="6"/>
      <c r="M182" s="6">
        <f>L378+L384+L396</f>
        <v>16066</v>
      </c>
    </row>
    <row r="183" spans="1:13" ht="12">
      <c r="A183" s="41">
        <v>3</v>
      </c>
      <c r="B183" s="41"/>
      <c r="C183" s="4" t="s">
        <v>131</v>
      </c>
      <c r="E183" s="41">
        <v>3</v>
      </c>
      <c r="F183" s="41"/>
      <c r="G183" s="71"/>
      <c r="H183" s="6">
        <f>G377+G383+G395</f>
        <v>1805.17</v>
      </c>
      <c r="I183" s="77"/>
      <c r="J183" s="6">
        <f>I377+I383+I395</f>
        <v>1760.44</v>
      </c>
      <c r="K183" s="6"/>
      <c r="L183" s="77"/>
      <c r="M183" s="6">
        <f>L377+L383+L395</f>
        <v>1758.99</v>
      </c>
    </row>
    <row r="184" spans="1:13" ht="12">
      <c r="A184" s="41">
        <v>4</v>
      </c>
      <c r="B184" s="41"/>
      <c r="C184" s="4" t="s">
        <v>132</v>
      </c>
      <c r="E184" s="41">
        <v>4</v>
      </c>
      <c r="F184" s="41"/>
      <c r="G184" s="71"/>
      <c r="H184" s="6">
        <f>SUM(H182:H183)</f>
        <v>18019.97</v>
      </c>
      <c r="I184" s="77"/>
      <c r="J184" s="6">
        <f>SUM(J182:J183)</f>
        <v>17805.34</v>
      </c>
      <c r="K184" s="6"/>
      <c r="L184" s="77"/>
      <c r="M184" s="6">
        <f>SUM(M182:M183)</f>
        <v>17824.99</v>
      </c>
    </row>
    <row r="185" spans="1:13" ht="11.25" customHeight="1">
      <c r="A185" s="41">
        <v>5</v>
      </c>
      <c r="B185" s="41"/>
      <c r="E185" s="41">
        <v>5</v>
      </c>
      <c r="F185" s="41"/>
      <c r="G185" s="71"/>
      <c r="H185" s="6"/>
      <c r="I185" s="77"/>
      <c r="J185" s="6"/>
      <c r="K185" s="6"/>
      <c r="L185" s="77"/>
      <c r="M185" s="6"/>
    </row>
    <row r="186" spans="1:13" ht="12">
      <c r="A186" s="41">
        <v>6</v>
      </c>
      <c r="B186" s="41"/>
      <c r="C186" s="4" t="s">
        <v>133</v>
      </c>
      <c r="E186" s="41">
        <v>6</v>
      </c>
      <c r="F186" s="41"/>
      <c r="G186" s="71"/>
      <c r="H186" s="6">
        <f>G380+G386+G398</f>
        <v>7340.6900000000005</v>
      </c>
      <c r="I186" s="77"/>
      <c r="J186" s="6">
        <f>I380+I386+I398</f>
        <v>7487.4</v>
      </c>
      <c r="K186" s="6"/>
      <c r="L186" s="77"/>
      <c r="M186" s="6">
        <f>L380+L386+L398</f>
        <v>7531</v>
      </c>
    </row>
    <row r="187" spans="1:13" ht="12">
      <c r="A187" s="41">
        <v>7</v>
      </c>
      <c r="B187" s="41"/>
      <c r="C187" s="4" t="s">
        <v>134</v>
      </c>
      <c r="E187" s="41">
        <v>7</v>
      </c>
      <c r="F187" s="41"/>
      <c r="G187" s="71"/>
      <c r="H187" s="6">
        <f>G379+G385+G397</f>
        <v>616.9300000000001</v>
      </c>
      <c r="I187" s="77"/>
      <c r="J187" s="6">
        <f>I379+I385+I397</f>
        <v>667.56</v>
      </c>
      <c r="K187" s="6"/>
      <c r="L187" s="77"/>
      <c r="M187" s="6">
        <f>L379+L385+L397</f>
        <v>681</v>
      </c>
    </row>
    <row r="188" spans="1:13" ht="12">
      <c r="A188" s="41">
        <v>8</v>
      </c>
      <c r="B188" s="41"/>
      <c r="C188" s="4" t="s">
        <v>135</v>
      </c>
      <c r="E188" s="41">
        <v>8</v>
      </c>
      <c r="F188" s="41"/>
      <c r="G188" s="71"/>
      <c r="H188" s="6">
        <f>SUM(H186:H187)</f>
        <v>7957.620000000001</v>
      </c>
      <c r="I188" s="77"/>
      <c r="J188" s="6">
        <f>SUM(J186:J187)</f>
        <v>8154.959999999999</v>
      </c>
      <c r="K188" s="6"/>
      <c r="L188" s="77"/>
      <c r="M188" s="6">
        <f>SUM(M186:M187)</f>
        <v>8212</v>
      </c>
    </row>
    <row r="189" spans="1:13" ht="12">
      <c r="A189" s="41">
        <v>9</v>
      </c>
      <c r="B189" s="41"/>
      <c r="E189" s="41">
        <v>9</v>
      </c>
      <c r="F189" s="41"/>
      <c r="G189" s="71"/>
      <c r="H189" s="48"/>
      <c r="I189" s="77"/>
      <c r="J189" s="48"/>
      <c r="K189" s="48"/>
      <c r="L189" s="77"/>
      <c r="M189" s="48"/>
    </row>
    <row r="190" spans="1:13" ht="12">
      <c r="A190" s="41">
        <v>10</v>
      </c>
      <c r="B190" s="41"/>
      <c r="C190" s="4" t="s">
        <v>136</v>
      </c>
      <c r="E190" s="41">
        <v>10</v>
      </c>
      <c r="F190" s="41"/>
      <c r="G190" s="71"/>
      <c r="H190" s="6">
        <f>H182+H186</f>
        <v>23555.489999999998</v>
      </c>
      <c r="I190" s="77"/>
      <c r="J190" s="6">
        <f>J182+J186</f>
        <v>23532.3</v>
      </c>
      <c r="K190" s="6"/>
      <c r="L190" s="77"/>
      <c r="M190" s="6">
        <f>M182+M186</f>
        <v>23597</v>
      </c>
    </row>
    <row r="191" spans="1:13" ht="12">
      <c r="A191" s="41">
        <v>11</v>
      </c>
      <c r="B191" s="41"/>
      <c r="C191" s="4" t="s">
        <v>137</v>
      </c>
      <c r="E191" s="41">
        <v>11</v>
      </c>
      <c r="F191" s="41"/>
      <c r="G191" s="71"/>
      <c r="H191" s="6">
        <f>H183+H187</f>
        <v>2422.1000000000004</v>
      </c>
      <c r="I191" s="77"/>
      <c r="J191" s="6">
        <f>J183+J187</f>
        <v>2428</v>
      </c>
      <c r="K191" s="6"/>
      <c r="L191" s="77"/>
      <c r="M191" s="6">
        <f>M183+M187</f>
        <v>2439.99</v>
      </c>
    </row>
    <row r="192" spans="1:13" ht="12">
      <c r="A192" s="41">
        <v>12</v>
      </c>
      <c r="B192" s="41"/>
      <c r="C192" s="4" t="s">
        <v>138</v>
      </c>
      <c r="E192" s="41">
        <v>12</v>
      </c>
      <c r="F192" s="41"/>
      <c r="G192" s="71"/>
      <c r="H192" s="6">
        <f>SUM(H190:H191)</f>
        <v>25977.589999999997</v>
      </c>
      <c r="I192" s="77"/>
      <c r="J192" s="6">
        <f>SUM(J190:J191)</f>
        <v>25960.3</v>
      </c>
      <c r="K192" s="6"/>
      <c r="L192" s="77"/>
      <c r="M192" s="6">
        <f>SUM(M190:M191)</f>
        <v>26036.989999999998</v>
      </c>
    </row>
    <row r="193" spans="1:13" ht="12">
      <c r="A193" s="41">
        <v>13</v>
      </c>
      <c r="B193" s="41"/>
      <c r="E193" s="41">
        <v>13</v>
      </c>
      <c r="F193" s="41"/>
      <c r="G193" s="71"/>
      <c r="H193" s="86"/>
      <c r="I193" s="71"/>
      <c r="J193" s="86"/>
      <c r="K193" s="86"/>
      <c r="L193" s="71"/>
      <c r="M193" s="86"/>
    </row>
    <row r="194" spans="1:13" ht="12">
      <c r="A194" s="41">
        <v>14</v>
      </c>
      <c r="B194" s="41"/>
      <c r="C194" s="4" t="s">
        <v>139</v>
      </c>
      <c r="E194" s="41">
        <v>14</v>
      </c>
      <c r="F194" s="41"/>
      <c r="G194" s="71"/>
      <c r="H194" s="86"/>
      <c r="I194" s="71"/>
      <c r="J194" s="86"/>
      <c r="K194" s="86"/>
      <c r="L194" s="71"/>
      <c r="M194" s="86"/>
    </row>
    <row r="195" spans="1:13" ht="12">
      <c r="A195" s="41">
        <v>15</v>
      </c>
      <c r="B195" s="41"/>
      <c r="C195" s="4" t="s">
        <v>376</v>
      </c>
      <c r="E195" s="41">
        <v>15</v>
      </c>
      <c r="F195" s="41"/>
      <c r="G195" s="71"/>
      <c r="H195" s="86">
        <f>(H118-H465)/H192</f>
        <v>14423.651142003553</v>
      </c>
      <c r="I195" s="71"/>
      <c r="J195" s="86">
        <f>(J118-J465)/J192</f>
        <v>15049.186248618082</v>
      </c>
      <c r="K195" s="86"/>
      <c r="L195" s="71"/>
      <c r="M195" s="86">
        <f>(M118-M465)/M192</f>
        <v>16195.588122897463</v>
      </c>
    </row>
    <row r="196" spans="1:13" ht="12">
      <c r="A196" s="14">
        <v>16</v>
      </c>
      <c r="B196" s="14"/>
      <c r="C196" s="4" t="s">
        <v>377</v>
      </c>
      <c r="E196" s="14">
        <v>16</v>
      </c>
      <c r="F196" s="14"/>
      <c r="G196" s="71"/>
      <c r="H196" s="86">
        <f>80*30</f>
        <v>2400</v>
      </c>
      <c r="I196" s="71"/>
      <c r="J196" s="86">
        <f>86*30</f>
        <v>2580</v>
      </c>
      <c r="K196" s="86"/>
      <c r="L196" s="71"/>
      <c r="M196" s="86">
        <f>89*30</f>
        <v>2670</v>
      </c>
    </row>
    <row r="197" spans="1:13" ht="12">
      <c r="A197" s="41">
        <v>17</v>
      </c>
      <c r="B197" s="41"/>
      <c r="E197" s="41">
        <v>17</v>
      </c>
      <c r="F197" s="41"/>
      <c r="G197" s="71"/>
      <c r="H197" s="86"/>
      <c r="I197" s="71"/>
      <c r="J197" s="86"/>
      <c r="K197" s="86"/>
      <c r="L197" s="71"/>
      <c r="M197" s="86"/>
    </row>
    <row r="198" spans="1:13" ht="12">
      <c r="A198" s="41">
        <v>18</v>
      </c>
      <c r="B198" s="41"/>
      <c r="C198" s="4" t="s">
        <v>378</v>
      </c>
      <c r="E198" s="41">
        <v>18</v>
      </c>
      <c r="F198" s="41"/>
      <c r="G198" s="71"/>
      <c r="H198" s="86"/>
      <c r="I198" s="71"/>
      <c r="J198" s="86"/>
      <c r="K198" s="86"/>
      <c r="L198" s="71"/>
      <c r="M198" s="86"/>
    </row>
    <row r="199" spans="1:13" ht="12">
      <c r="A199" s="41">
        <v>19</v>
      </c>
      <c r="B199" s="41"/>
      <c r="C199" s="4" t="s">
        <v>141</v>
      </c>
      <c r="E199" s="41">
        <v>19</v>
      </c>
      <c r="F199" s="41"/>
      <c r="G199" s="71"/>
      <c r="H199" s="89">
        <f>G610</f>
        <v>1659.3999999999999</v>
      </c>
      <c r="I199" s="185"/>
      <c r="J199" s="89">
        <f>I610</f>
        <v>1699.2</v>
      </c>
      <c r="K199" s="89"/>
      <c r="L199" s="185"/>
      <c r="M199" s="89">
        <f>L610</f>
        <v>1729.6</v>
      </c>
    </row>
    <row r="200" spans="1:13" ht="12">
      <c r="A200" s="41">
        <v>20</v>
      </c>
      <c r="B200" s="41"/>
      <c r="C200" s="4" t="s">
        <v>142</v>
      </c>
      <c r="E200" s="41">
        <v>20</v>
      </c>
      <c r="F200" s="41"/>
      <c r="G200" s="71"/>
      <c r="H200" s="89">
        <f>G607</f>
        <v>1267.6</v>
      </c>
      <c r="I200" s="185"/>
      <c r="J200" s="89">
        <f>I607</f>
        <v>1293.5</v>
      </c>
      <c r="K200" s="89"/>
      <c r="L200" s="185"/>
      <c r="M200" s="89">
        <f>L607</f>
        <v>1333.3</v>
      </c>
    </row>
    <row r="201" spans="1:13" ht="12">
      <c r="A201" s="41">
        <v>21</v>
      </c>
      <c r="B201" s="41"/>
      <c r="C201" s="4" t="s">
        <v>143</v>
      </c>
      <c r="E201" s="41">
        <v>21</v>
      </c>
      <c r="F201" s="41"/>
      <c r="G201" s="71"/>
      <c r="H201" s="89">
        <f>G609</f>
        <v>391.8</v>
      </c>
      <c r="I201" s="185"/>
      <c r="J201" s="89">
        <f>I609</f>
        <v>405.7</v>
      </c>
      <c r="K201" s="89"/>
      <c r="L201" s="185"/>
      <c r="M201" s="89">
        <f>L609</f>
        <v>396.3</v>
      </c>
    </row>
    <row r="202" spans="1:13" ht="12">
      <c r="A202" s="41">
        <v>22</v>
      </c>
      <c r="B202" s="41"/>
      <c r="E202" s="41">
        <v>22</v>
      </c>
      <c r="F202" s="41"/>
      <c r="G202" s="71"/>
      <c r="H202" s="179"/>
      <c r="I202" s="185"/>
      <c r="J202" s="179"/>
      <c r="K202" s="179"/>
      <c r="L202" s="185"/>
      <c r="M202" s="179"/>
    </row>
    <row r="203" spans="1:13" ht="12">
      <c r="A203" s="41">
        <v>23</v>
      </c>
      <c r="B203" s="41"/>
      <c r="C203" s="4" t="s">
        <v>144</v>
      </c>
      <c r="E203" s="41">
        <v>23</v>
      </c>
      <c r="F203" s="41"/>
      <c r="G203" s="71"/>
      <c r="H203" s="179"/>
      <c r="I203" s="185"/>
      <c r="J203" s="179"/>
      <c r="K203" s="179"/>
      <c r="L203" s="185"/>
      <c r="M203" s="179"/>
    </row>
    <row r="204" spans="1:13" ht="12">
      <c r="A204" s="41">
        <v>24</v>
      </c>
      <c r="B204" s="41"/>
      <c r="C204" s="4" t="s">
        <v>145</v>
      </c>
      <c r="E204" s="41">
        <v>24</v>
      </c>
      <c r="F204" s="41"/>
      <c r="G204" s="71"/>
      <c r="H204" s="86">
        <f>IF(G610=0,0,H610/G610)</f>
        <v>90451.84356393879</v>
      </c>
      <c r="I204" s="71"/>
      <c r="J204" s="86">
        <f>IF(I610=0,0,J610/I610)</f>
        <v>95323.12003295668</v>
      </c>
      <c r="K204" s="86"/>
      <c r="L204" s="71"/>
      <c r="M204" s="86">
        <f>IF(L610=0,0,M610/L610)</f>
        <v>103694.66408418132</v>
      </c>
    </row>
    <row r="205" spans="1:13" ht="12">
      <c r="A205" s="41">
        <v>25</v>
      </c>
      <c r="B205" s="41"/>
      <c r="C205" s="4" t="s">
        <v>146</v>
      </c>
      <c r="E205" s="41">
        <v>25</v>
      </c>
      <c r="F205" s="41"/>
      <c r="G205" s="71"/>
      <c r="H205" s="86">
        <f>IF(H200=0,0,(H607+H608)/H200)</f>
        <v>99947.82523666773</v>
      </c>
      <c r="I205" s="71"/>
      <c r="J205" s="86">
        <f>IF(J200=0,0,(J607+J608)/J200)</f>
        <v>105367.78931580983</v>
      </c>
      <c r="K205" s="86"/>
      <c r="L205" s="71"/>
      <c r="M205" s="86">
        <f>IF(M200=0,0,(M607+M608)/M200)</f>
        <v>113879.8409960249</v>
      </c>
    </row>
    <row r="206" spans="1:13" ht="12">
      <c r="A206" s="41">
        <v>26</v>
      </c>
      <c r="B206" s="41"/>
      <c r="C206" s="4" t="s">
        <v>147</v>
      </c>
      <c r="E206" s="41">
        <v>26</v>
      </c>
      <c r="F206" s="41"/>
      <c r="G206" s="71"/>
      <c r="H206" s="86">
        <f>IF(H201=0,0,H609/H201)</f>
        <v>59729.26477794792</v>
      </c>
      <c r="I206" s="71"/>
      <c r="J206" s="86">
        <f>IF(J201=0,0,J609/J201)</f>
        <v>63297.535321666255</v>
      </c>
      <c r="K206" s="86"/>
      <c r="L206" s="71"/>
      <c r="M206" s="86">
        <f>IF(M201=0,0,M609/M201)</f>
        <v>69427.95609386828</v>
      </c>
    </row>
    <row r="207" spans="1:12" ht="12">
      <c r="A207" s="41">
        <v>27</v>
      </c>
      <c r="B207" s="41"/>
      <c r="E207" s="41">
        <v>27</v>
      </c>
      <c r="F207" s="41"/>
      <c r="G207" s="71"/>
      <c r="I207" s="71"/>
      <c r="L207" s="71"/>
    </row>
    <row r="208" spans="1:13" ht="12">
      <c r="A208" s="41">
        <v>28</v>
      </c>
      <c r="B208" s="41"/>
      <c r="C208" s="4" t="s">
        <v>379</v>
      </c>
      <c r="E208" s="41">
        <v>28</v>
      </c>
      <c r="F208" s="41"/>
      <c r="G208" s="71"/>
      <c r="H208" s="89">
        <f>G100</f>
        <v>3505.9699999999993</v>
      </c>
      <c r="I208" s="89"/>
      <c r="J208" s="89">
        <f>I100</f>
        <v>3580.2799999999997</v>
      </c>
      <c r="K208" s="89"/>
      <c r="L208" s="89"/>
      <c r="M208" s="89">
        <f>L100</f>
        <v>3610.08</v>
      </c>
    </row>
    <row r="209" spans="1:13" ht="12">
      <c r="A209" s="41"/>
      <c r="B209" s="41"/>
      <c r="C209" s="4"/>
      <c r="E209" s="41"/>
      <c r="F209" s="41"/>
      <c r="G209" s="71"/>
      <c r="H209" s="89"/>
      <c r="I209" s="89"/>
      <c r="J209" s="89"/>
      <c r="K209" s="89"/>
      <c r="L209" s="89"/>
      <c r="M209" s="89"/>
    </row>
    <row r="210" spans="1:13" ht="12">
      <c r="A210" s="41"/>
      <c r="B210" s="41"/>
      <c r="C210" s="4"/>
      <c r="E210" s="41"/>
      <c r="F210" s="41"/>
      <c r="G210" s="71"/>
      <c r="H210" s="89"/>
      <c r="I210" s="89"/>
      <c r="J210" s="89"/>
      <c r="K210" s="89"/>
      <c r="L210" s="89"/>
      <c r="M210" s="89"/>
    </row>
    <row r="211" spans="1:13" ht="12">
      <c r="A211" s="41"/>
      <c r="B211" s="41"/>
      <c r="C211" s="4"/>
      <c r="E211" s="41"/>
      <c r="F211" s="41"/>
      <c r="G211" s="71"/>
      <c r="H211" s="89"/>
      <c r="I211" s="89"/>
      <c r="J211" s="89"/>
      <c r="K211" s="89"/>
      <c r="L211" s="89"/>
      <c r="M211" s="89"/>
    </row>
    <row r="212" spans="1:13" ht="12" hidden="1">
      <c r="A212" s="41"/>
      <c r="B212" s="41"/>
      <c r="C212" s="4"/>
      <c r="E212" s="41"/>
      <c r="F212" s="41"/>
      <c r="G212" s="71"/>
      <c r="H212" s="89"/>
      <c r="I212" s="89"/>
      <c r="J212" s="89"/>
      <c r="K212" s="89"/>
      <c r="L212" s="89"/>
      <c r="M212" s="89"/>
    </row>
    <row r="213" spans="1:13" ht="12" hidden="1">
      <c r="A213" s="41"/>
      <c r="B213" s="41"/>
      <c r="C213" s="4"/>
      <c r="E213" s="41"/>
      <c r="F213" s="41"/>
      <c r="G213" s="71"/>
      <c r="H213" s="89"/>
      <c r="I213" s="89"/>
      <c r="J213" s="89"/>
      <c r="K213" s="89"/>
      <c r="L213" s="89"/>
      <c r="M213" s="89"/>
    </row>
    <row r="214" spans="1:13" ht="12" hidden="1">
      <c r="A214" s="41"/>
      <c r="B214" s="41"/>
      <c r="C214" s="4"/>
      <c r="E214" s="41"/>
      <c r="F214" s="41"/>
      <c r="G214" s="71"/>
      <c r="H214" s="89"/>
      <c r="I214" s="89"/>
      <c r="J214" s="89"/>
      <c r="K214" s="89"/>
      <c r="L214" s="89"/>
      <c r="M214" s="89"/>
    </row>
    <row r="215" spans="1:13" ht="12">
      <c r="A215" s="41"/>
      <c r="B215" s="41"/>
      <c r="C215" s="4"/>
      <c r="E215" s="41"/>
      <c r="F215" s="41"/>
      <c r="G215" s="71"/>
      <c r="H215" s="89"/>
      <c r="I215" s="89"/>
      <c r="J215" s="89"/>
      <c r="K215" s="89"/>
      <c r="L215" s="89"/>
      <c r="M215" s="89"/>
    </row>
    <row r="216" spans="1:13" ht="12">
      <c r="A216" s="41"/>
      <c r="B216" s="41"/>
      <c r="C216" s="4"/>
      <c r="E216" s="41"/>
      <c r="F216" s="41"/>
      <c r="G216" s="71"/>
      <c r="H216" s="89"/>
      <c r="I216" s="89"/>
      <c r="J216" s="89"/>
      <c r="K216" s="89"/>
      <c r="L216" s="89"/>
      <c r="M216" s="89"/>
    </row>
    <row r="217" spans="1:13" ht="12">
      <c r="A217" s="41"/>
      <c r="B217" s="41"/>
      <c r="C217" s="4"/>
      <c r="E217" s="41"/>
      <c r="F217" s="41"/>
      <c r="G217" s="71"/>
      <c r="H217" s="89"/>
      <c r="I217" s="89"/>
      <c r="J217" s="89"/>
      <c r="K217" s="89"/>
      <c r="L217" s="89"/>
      <c r="M217" s="89"/>
    </row>
    <row r="218" spans="1:13" ht="9.75" customHeight="1">
      <c r="A218" s="41"/>
      <c r="B218" s="41"/>
      <c r="C218" s="4"/>
      <c r="E218" s="41"/>
      <c r="F218" s="41"/>
      <c r="G218" s="71"/>
      <c r="H218" s="89"/>
      <c r="I218" s="89"/>
      <c r="J218" s="89"/>
      <c r="K218" s="89"/>
      <c r="L218" s="89"/>
      <c r="M218" s="89"/>
    </row>
    <row r="219" spans="1:13" ht="12" hidden="1">
      <c r="A219" s="41"/>
      <c r="B219" s="41"/>
      <c r="C219" s="4"/>
      <c r="E219" s="41"/>
      <c r="F219" s="41"/>
      <c r="G219" s="71"/>
      <c r="H219" s="89"/>
      <c r="I219" s="89"/>
      <c r="J219" s="89"/>
      <c r="K219" s="89"/>
      <c r="L219" s="89"/>
      <c r="M219" s="89"/>
    </row>
    <row r="220" spans="1:13" ht="12">
      <c r="A220" s="41"/>
      <c r="B220" s="41"/>
      <c r="C220" s="4"/>
      <c r="E220" s="41"/>
      <c r="F220" s="41"/>
      <c r="G220" s="71"/>
      <c r="H220" s="89"/>
      <c r="I220" s="89"/>
      <c r="J220" s="89"/>
      <c r="K220" s="89"/>
      <c r="L220" s="89"/>
      <c r="M220" s="89"/>
    </row>
    <row r="221" spans="1:13" ht="12">
      <c r="A221" s="41"/>
      <c r="B221" s="41"/>
      <c r="C221" s="4"/>
      <c r="E221" s="41"/>
      <c r="F221" s="41"/>
      <c r="G221" s="71"/>
      <c r="H221" s="89"/>
      <c r="I221" s="89"/>
      <c r="J221" s="89"/>
      <c r="K221" s="89"/>
      <c r="L221" s="89"/>
      <c r="M221" s="89"/>
    </row>
    <row r="222" spans="1:13" ht="12">
      <c r="A222" s="41"/>
      <c r="B222" s="41"/>
      <c r="C222" s="4"/>
      <c r="E222" s="41"/>
      <c r="F222" s="41"/>
      <c r="G222" s="71"/>
      <c r="H222" s="89"/>
      <c r="I222" s="89"/>
      <c r="J222" s="89"/>
      <c r="K222" s="89"/>
      <c r="L222" s="89"/>
      <c r="M222" s="89"/>
    </row>
    <row r="223" spans="1:13" ht="9" customHeight="1">
      <c r="A223" s="4"/>
      <c r="B223" s="4"/>
      <c r="J223" s="86"/>
      <c r="K223" s="86"/>
      <c r="M223" s="86"/>
    </row>
    <row r="224" spans="1:13" ht="12">
      <c r="A224" s="68" t="s">
        <v>372</v>
      </c>
      <c r="B224" s="68"/>
      <c r="E224" s="38"/>
      <c r="F224" s="38"/>
      <c r="G224" s="71"/>
      <c r="H224" s="86"/>
      <c r="I224" s="71"/>
      <c r="J224" s="86"/>
      <c r="K224" s="86"/>
      <c r="L224" s="71"/>
      <c r="M224" s="189" t="s">
        <v>149</v>
      </c>
    </row>
    <row r="225" spans="1:13" ht="12">
      <c r="A225" s="433" t="s">
        <v>604</v>
      </c>
      <c r="B225" s="433"/>
      <c r="C225" s="433"/>
      <c r="D225" s="433"/>
      <c r="E225" s="433"/>
      <c r="F225" s="433"/>
      <c r="G225" s="433"/>
      <c r="H225" s="433"/>
      <c r="I225" s="433"/>
      <c r="J225" s="433"/>
      <c r="K225" s="433"/>
      <c r="L225" s="433"/>
      <c r="M225" s="433"/>
    </row>
    <row r="226" spans="1:13" ht="12">
      <c r="A226" s="68" t="s">
        <v>345</v>
      </c>
      <c r="B226" s="68"/>
      <c r="J226" s="86"/>
      <c r="K226" s="86"/>
      <c r="L226" s="71"/>
      <c r="M226" s="190" t="s">
        <v>346</v>
      </c>
    </row>
    <row r="227" spans="1:13" ht="12">
      <c r="A227" s="15" t="s">
        <v>1</v>
      </c>
      <c r="B227" s="15"/>
      <c r="C227" s="15" t="s">
        <v>1</v>
      </c>
      <c r="D227" s="15" t="s">
        <v>1</v>
      </c>
      <c r="E227" s="15" t="s">
        <v>1</v>
      </c>
      <c r="F227" s="15"/>
      <c r="G227" s="15" t="s">
        <v>1</v>
      </c>
      <c r="H227" s="15" t="s">
        <v>1</v>
      </c>
      <c r="I227" s="15" t="s">
        <v>1</v>
      </c>
      <c r="J227" s="15" t="s">
        <v>1</v>
      </c>
      <c r="K227" s="15"/>
      <c r="L227" s="15" t="s">
        <v>1</v>
      </c>
      <c r="M227" s="15" t="s">
        <v>1</v>
      </c>
    </row>
    <row r="228" spans="1:13" ht="12">
      <c r="A228" s="73" t="s">
        <v>2</v>
      </c>
      <c r="B228" s="73"/>
      <c r="E228" s="73" t="s">
        <v>2</v>
      </c>
      <c r="F228" s="73"/>
      <c r="G228" s="71"/>
      <c r="H228" s="123" t="s">
        <v>172</v>
      </c>
      <c r="I228" s="89"/>
      <c r="J228" s="123" t="s">
        <v>280</v>
      </c>
      <c r="K228" s="123"/>
      <c r="L228" s="123" t="s">
        <v>289</v>
      </c>
      <c r="M228" s="189" t="s">
        <v>289</v>
      </c>
    </row>
    <row r="229" spans="1:13" ht="12">
      <c r="A229" s="73" t="s">
        <v>4</v>
      </c>
      <c r="B229" s="73"/>
      <c r="C229" s="4" t="s">
        <v>0</v>
      </c>
      <c r="E229" s="73" t="s">
        <v>4</v>
      </c>
      <c r="F229" s="73"/>
      <c r="G229" s="71"/>
      <c r="H229" s="123" t="s">
        <v>7</v>
      </c>
      <c r="I229" s="71"/>
      <c r="J229" s="123" t="s">
        <v>7</v>
      </c>
      <c r="K229" s="123"/>
      <c r="L229" s="123" t="s">
        <v>8</v>
      </c>
      <c r="M229" s="189" t="s">
        <v>380</v>
      </c>
    </row>
    <row r="230" spans="1:13" ht="12">
      <c r="A230" s="15" t="s">
        <v>1</v>
      </c>
      <c r="B230" s="15"/>
      <c r="C230" s="15" t="s">
        <v>1</v>
      </c>
      <c r="D230" s="15" t="s">
        <v>1</v>
      </c>
      <c r="E230" s="15" t="s">
        <v>1</v>
      </c>
      <c r="F230" s="15"/>
      <c r="G230" s="15" t="s">
        <v>1</v>
      </c>
      <c r="H230" s="15" t="s">
        <v>1</v>
      </c>
      <c r="I230" s="15" t="s">
        <v>1</v>
      </c>
      <c r="J230" s="15" t="s">
        <v>1</v>
      </c>
      <c r="K230" s="15"/>
      <c r="L230" s="15" t="s">
        <v>1</v>
      </c>
      <c r="M230" s="15" t="s">
        <v>1</v>
      </c>
    </row>
    <row r="231" spans="1:13" ht="12">
      <c r="A231" s="41">
        <v>1</v>
      </c>
      <c r="B231" s="41"/>
      <c r="C231" s="4" t="s">
        <v>381</v>
      </c>
      <c r="E231" s="38">
        <v>1</v>
      </c>
      <c r="F231" s="38"/>
      <c r="G231" s="71"/>
      <c r="H231" s="123"/>
      <c r="I231" s="71"/>
      <c r="J231" s="1"/>
      <c r="K231" s="1"/>
      <c r="L231" s="178"/>
      <c r="M231" s="86"/>
    </row>
    <row r="232" spans="1:13" ht="12">
      <c r="A232" s="41">
        <f aca="true" t="shared" si="10" ref="A232:A257">(A231+1)</f>
        <v>2</v>
      </c>
      <c r="B232" s="41"/>
      <c r="C232" s="4" t="s">
        <v>151</v>
      </c>
      <c r="E232" s="38">
        <v>2</v>
      </c>
      <c r="F232" s="38"/>
      <c r="G232" s="71"/>
      <c r="H232" s="3">
        <f>2223*2</f>
        <v>4446</v>
      </c>
      <c r="I232" s="77"/>
      <c r="J232" s="358">
        <f>2277*2</f>
        <v>4554</v>
      </c>
      <c r="K232" s="358"/>
      <c r="L232" s="358">
        <f>2709*2</f>
        <v>5418</v>
      </c>
      <c r="M232" s="235">
        <f>(L232/J232)-1</f>
        <v>0.18972332015810278</v>
      </c>
    </row>
    <row r="233" spans="1:13" ht="12">
      <c r="A233" s="41">
        <f t="shared" si="10"/>
        <v>3</v>
      </c>
      <c r="B233" s="41"/>
      <c r="C233" s="4" t="s">
        <v>152</v>
      </c>
      <c r="E233" s="38">
        <v>3</v>
      </c>
      <c r="F233" s="38"/>
      <c r="G233" s="71"/>
      <c r="H233" s="3"/>
      <c r="I233" s="77"/>
      <c r="J233" s="358"/>
      <c r="K233" s="358"/>
      <c r="L233" s="358"/>
      <c r="M233" s="235"/>
    </row>
    <row r="234" spans="1:13" ht="12">
      <c r="A234" s="41">
        <f t="shared" si="10"/>
        <v>4</v>
      </c>
      <c r="B234" s="41"/>
      <c r="C234" s="4" t="s">
        <v>382</v>
      </c>
      <c r="E234" s="38">
        <v>4</v>
      </c>
      <c r="F234" s="38"/>
      <c r="G234" s="71"/>
      <c r="H234" s="3">
        <f>3573*2</f>
        <v>7146</v>
      </c>
      <c r="I234" s="77"/>
      <c r="J234" s="358">
        <f>3627*2</f>
        <v>7254</v>
      </c>
      <c r="K234" s="358"/>
      <c r="L234" s="358">
        <f>4316*2</f>
        <v>8632</v>
      </c>
      <c r="M234" s="235">
        <f aca="true" t="shared" si="11" ref="M234:M246">(L234/J234)-1</f>
        <v>0.1899641577060931</v>
      </c>
    </row>
    <row r="235" spans="1:13" ht="12">
      <c r="A235" s="41">
        <f t="shared" si="10"/>
        <v>5</v>
      </c>
      <c r="B235" s="41"/>
      <c r="C235" s="5" t="s">
        <v>383</v>
      </c>
      <c r="E235" s="38">
        <v>5</v>
      </c>
      <c r="F235" s="38"/>
      <c r="G235" s="71"/>
      <c r="H235" s="3">
        <f>2925*2</f>
        <v>5850</v>
      </c>
      <c r="I235" s="77"/>
      <c r="J235" s="358">
        <f>2997*2</f>
        <v>5994</v>
      </c>
      <c r="K235" s="358"/>
      <c r="L235" s="358">
        <f>3749*2</f>
        <v>7498</v>
      </c>
      <c r="M235" s="235">
        <f t="shared" si="11"/>
        <v>0.2509175842509175</v>
      </c>
    </row>
    <row r="236" spans="1:13" ht="12">
      <c r="A236" s="41">
        <f t="shared" si="10"/>
        <v>6</v>
      </c>
      <c r="B236" s="41"/>
      <c r="C236" s="4" t="s">
        <v>384</v>
      </c>
      <c r="E236" s="38">
        <v>6</v>
      </c>
      <c r="F236" s="38"/>
      <c r="G236" s="71"/>
      <c r="H236" s="3">
        <f>2313*2</f>
        <v>4626</v>
      </c>
      <c r="I236" s="77"/>
      <c r="J236" s="358">
        <f>2367*2</f>
        <v>4734</v>
      </c>
      <c r="K236" s="358"/>
      <c r="L236" s="358">
        <f>2814*2</f>
        <v>5628</v>
      </c>
      <c r="M236" s="235">
        <f t="shared" si="11"/>
        <v>0.18884664131812423</v>
      </c>
    </row>
    <row r="237" spans="1:13" ht="12">
      <c r="A237" s="41">
        <f t="shared" si="10"/>
        <v>7</v>
      </c>
      <c r="B237" s="41"/>
      <c r="C237" s="4" t="s">
        <v>0</v>
      </c>
      <c r="E237" s="38">
        <v>7</v>
      </c>
      <c r="F237" s="38"/>
      <c r="G237" s="71"/>
      <c r="H237" s="3"/>
      <c r="I237" s="77"/>
      <c r="J237" s="358"/>
      <c r="K237" s="358"/>
      <c r="L237" s="358"/>
      <c r="M237" s="235"/>
    </row>
    <row r="238" spans="1:13" ht="12">
      <c r="A238" s="41">
        <f t="shared" si="10"/>
        <v>8</v>
      </c>
      <c r="B238" s="41"/>
      <c r="E238" s="38">
        <v>8</v>
      </c>
      <c r="F238" s="38"/>
      <c r="G238" s="71"/>
      <c r="H238" s="3"/>
      <c r="I238" s="71"/>
      <c r="J238" s="358"/>
      <c r="K238" s="358"/>
      <c r="L238" s="358"/>
      <c r="M238" s="235"/>
    </row>
    <row r="239" spans="1:13" ht="12">
      <c r="A239" s="41">
        <f t="shared" si="10"/>
        <v>9</v>
      </c>
      <c r="B239" s="41"/>
      <c r="C239" s="4" t="s">
        <v>385</v>
      </c>
      <c r="E239" s="38">
        <v>9</v>
      </c>
      <c r="F239" s="38"/>
      <c r="G239" s="71"/>
      <c r="H239" s="3">
        <f>462.76*2</f>
        <v>925.52</v>
      </c>
      <c r="I239" s="71"/>
      <c r="J239" s="358">
        <f>544.58*2</f>
        <v>1089.16</v>
      </c>
      <c r="K239" s="358"/>
      <c r="L239" s="358">
        <f>(335.03+7+67.24+28.5+10+7.4+53.44+100)*2</f>
        <v>1217.2199999999998</v>
      </c>
      <c r="M239" s="235">
        <f t="shared" si="11"/>
        <v>0.11757684821330172</v>
      </c>
    </row>
    <row r="240" spans="1:13" ht="12">
      <c r="A240" s="41">
        <f t="shared" si="10"/>
        <v>10</v>
      </c>
      <c r="B240" s="41"/>
      <c r="C240" s="4" t="s">
        <v>0</v>
      </c>
      <c r="E240" s="38">
        <v>10</v>
      </c>
      <c r="F240" s="38"/>
      <c r="G240" s="71"/>
      <c r="H240" s="3"/>
      <c r="I240" s="71"/>
      <c r="J240" s="358"/>
      <c r="K240" s="358"/>
      <c r="L240" s="358"/>
      <c r="M240" s="235"/>
    </row>
    <row r="241" spans="1:13" ht="12">
      <c r="A241" s="41">
        <f t="shared" si="10"/>
        <v>11</v>
      </c>
      <c r="B241" s="41"/>
      <c r="C241" s="4" t="s">
        <v>153</v>
      </c>
      <c r="E241" s="38">
        <v>11</v>
      </c>
      <c r="F241" s="38"/>
      <c r="G241" s="71"/>
      <c r="H241" s="3"/>
      <c r="I241" s="71"/>
      <c r="J241" s="358"/>
      <c r="K241" s="358"/>
      <c r="L241" s="358"/>
      <c r="M241" s="235"/>
    </row>
    <row r="242" spans="1:13" ht="12">
      <c r="A242" s="41">
        <f t="shared" si="10"/>
        <v>12</v>
      </c>
      <c r="B242" s="41"/>
      <c r="C242" s="4" t="s">
        <v>151</v>
      </c>
      <c r="E242" s="38">
        <v>12</v>
      </c>
      <c r="F242" s="38"/>
      <c r="G242" s="71"/>
      <c r="H242" s="3">
        <f>3015*2</f>
        <v>6030</v>
      </c>
      <c r="I242" s="71"/>
      <c r="J242" s="358">
        <f>3285*2</f>
        <v>6570</v>
      </c>
      <c r="K242" s="358"/>
      <c r="L242" s="358">
        <f>3515*2</f>
        <v>7030</v>
      </c>
      <c r="M242" s="235">
        <f t="shared" si="11"/>
        <v>0.07001522070015231</v>
      </c>
    </row>
    <row r="243" spans="1:13" ht="12">
      <c r="A243" s="41">
        <f t="shared" si="10"/>
        <v>13</v>
      </c>
      <c r="B243" s="41"/>
      <c r="C243" s="4" t="s">
        <v>152</v>
      </c>
      <c r="E243" s="38">
        <v>13</v>
      </c>
      <c r="F243" s="38"/>
      <c r="G243" s="71"/>
      <c r="H243" s="3"/>
      <c r="I243" s="71"/>
      <c r="J243" s="358"/>
      <c r="K243" s="358"/>
      <c r="L243" s="358"/>
      <c r="M243" s="235"/>
    </row>
    <row r="244" spans="1:13" ht="12">
      <c r="A244" s="41">
        <f t="shared" si="10"/>
        <v>14</v>
      </c>
      <c r="B244" s="41"/>
      <c r="C244" s="4" t="s">
        <v>382</v>
      </c>
      <c r="E244" s="38">
        <v>14</v>
      </c>
      <c r="F244" s="38"/>
      <c r="G244" s="71"/>
      <c r="H244" s="359">
        <f>4329*2</f>
        <v>8658</v>
      </c>
      <c r="I244" s="185"/>
      <c r="J244" s="358">
        <f>4716*2</f>
        <v>9432</v>
      </c>
      <c r="K244" s="358"/>
      <c r="L244" s="358">
        <f>5046*2</f>
        <v>10092</v>
      </c>
      <c r="M244" s="235">
        <f t="shared" si="11"/>
        <v>0.06997455470737912</v>
      </c>
    </row>
    <row r="245" spans="1:13" ht="12">
      <c r="A245" s="41">
        <f t="shared" si="10"/>
        <v>15</v>
      </c>
      <c r="B245" s="41"/>
      <c r="C245" s="4" t="s">
        <v>386</v>
      </c>
      <c r="E245" s="38">
        <v>15</v>
      </c>
      <c r="F245" s="38"/>
      <c r="G245" s="71"/>
      <c r="H245" s="359">
        <f>4491*2</f>
        <v>8982</v>
      </c>
      <c r="I245" s="185"/>
      <c r="J245" s="358">
        <f>4896*2</f>
        <v>9792</v>
      </c>
      <c r="K245" s="358"/>
      <c r="L245" s="358">
        <f>5239*2</f>
        <v>10478</v>
      </c>
      <c r="M245" s="235">
        <f t="shared" si="11"/>
        <v>0.07005718954248374</v>
      </c>
    </row>
    <row r="246" spans="1:13" ht="12">
      <c r="A246" s="41">
        <f t="shared" si="10"/>
        <v>16</v>
      </c>
      <c r="B246" s="41"/>
      <c r="C246" s="4" t="s">
        <v>383</v>
      </c>
      <c r="E246" s="38">
        <v>16</v>
      </c>
      <c r="F246" s="38"/>
      <c r="G246" s="71"/>
      <c r="H246" s="359">
        <f>3672*2</f>
        <v>7344</v>
      </c>
      <c r="I246" s="185"/>
      <c r="J246" s="358">
        <f>4005*2</f>
        <v>8010</v>
      </c>
      <c r="K246" s="358"/>
      <c r="L246" s="358">
        <f>4438*2</f>
        <v>8876</v>
      </c>
      <c r="M246" s="235">
        <f t="shared" si="11"/>
        <v>0.10811485642946317</v>
      </c>
    </row>
    <row r="247" spans="1:12" ht="12">
      <c r="A247" s="41">
        <f t="shared" si="10"/>
        <v>17</v>
      </c>
      <c r="B247" s="41"/>
      <c r="E247" s="38">
        <v>17</v>
      </c>
      <c r="F247" s="38"/>
      <c r="G247" s="71"/>
      <c r="H247" s="1"/>
      <c r="J247" s="358"/>
      <c r="K247" s="358"/>
      <c r="L247" s="358"/>
    </row>
    <row r="248" spans="1:13" ht="12">
      <c r="A248" s="41">
        <f t="shared" si="10"/>
        <v>18</v>
      </c>
      <c r="B248" s="41"/>
      <c r="C248" s="4" t="s">
        <v>0</v>
      </c>
      <c r="E248" s="38">
        <v>18</v>
      </c>
      <c r="F248" s="38"/>
      <c r="G248" s="71"/>
      <c r="H248" s="359"/>
      <c r="I248" s="185"/>
      <c r="J248" s="358"/>
      <c r="K248" s="358"/>
      <c r="L248" s="358"/>
      <c r="M248" s="235"/>
    </row>
    <row r="249" spans="1:13" ht="12">
      <c r="A249" s="41">
        <f t="shared" si="10"/>
        <v>19</v>
      </c>
      <c r="B249" s="41"/>
      <c r="C249" s="5" t="s">
        <v>154</v>
      </c>
      <c r="E249" s="38">
        <v>19</v>
      </c>
      <c r="F249" s="38"/>
      <c r="G249" s="71"/>
      <c r="H249" s="1"/>
      <c r="J249" s="358"/>
      <c r="K249" s="358"/>
      <c r="L249" s="358"/>
      <c r="M249" s="235"/>
    </row>
    <row r="250" spans="1:13" ht="12">
      <c r="A250" s="41">
        <f t="shared" si="10"/>
        <v>20</v>
      </c>
      <c r="B250" s="41"/>
      <c r="C250" s="4" t="s">
        <v>151</v>
      </c>
      <c r="E250" s="38">
        <v>20</v>
      </c>
      <c r="F250" s="38"/>
      <c r="G250" s="71"/>
      <c r="H250" s="3"/>
      <c r="I250" s="71"/>
      <c r="J250" s="3"/>
      <c r="K250" s="3"/>
      <c r="L250" s="3"/>
      <c r="M250" s="86"/>
    </row>
    <row r="251" spans="1:13" ht="12">
      <c r="A251" s="41">
        <f t="shared" si="10"/>
        <v>21</v>
      </c>
      <c r="B251" s="41"/>
      <c r="C251" s="4" t="s">
        <v>152</v>
      </c>
      <c r="E251" s="38">
        <v>21</v>
      </c>
      <c r="F251" s="38"/>
      <c r="G251" s="71"/>
      <c r="H251" s="3"/>
      <c r="I251" s="71"/>
      <c r="J251" s="3"/>
      <c r="K251" s="3"/>
      <c r="L251" s="3"/>
      <c r="M251" s="86"/>
    </row>
    <row r="252" spans="1:13" ht="12">
      <c r="A252" s="41">
        <f t="shared" si="10"/>
        <v>22</v>
      </c>
      <c r="B252" s="41"/>
      <c r="C252" s="4" t="s">
        <v>387</v>
      </c>
      <c r="E252" s="38">
        <v>22</v>
      </c>
      <c r="F252" s="38"/>
      <c r="G252" s="71"/>
      <c r="H252" s="359">
        <f>6120*2</f>
        <v>12240</v>
      </c>
      <c r="I252" s="185"/>
      <c r="J252" s="3">
        <f>7668*2</f>
        <v>15336</v>
      </c>
      <c r="K252" s="3"/>
      <c r="L252" s="3">
        <f>8511*2</f>
        <v>17022</v>
      </c>
      <c r="M252" s="235">
        <f>(L252/J252)-1</f>
        <v>0.1099374021909234</v>
      </c>
    </row>
    <row r="253" spans="1:13" ht="12">
      <c r="A253" s="41">
        <f t="shared" si="10"/>
        <v>23</v>
      </c>
      <c r="B253" s="41"/>
      <c r="C253" s="4" t="s">
        <v>388</v>
      </c>
      <c r="E253" s="38">
        <v>23</v>
      </c>
      <c r="F253" s="38"/>
      <c r="G253" s="71"/>
      <c r="H253" s="359">
        <f>6120*2</f>
        <v>12240</v>
      </c>
      <c r="I253" s="71"/>
      <c r="J253" s="3">
        <f>7668*2</f>
        <v>15336</v>
      </c>
      <c r="K253" s="3"/>
      <c r="L253" s="3">
        <f>8205*2</f>
        <v>16410</v>
      </c>
      <c r="M253" s="235">
        <f>(L253/J253)-1</f>
        <v>0.07003129890453841</v>
      </c>
    </row>
    <row r="254" spans="1:13" ht="12">
      <c r="A254" s="41">
        <f t="shared" si="10"/>
        <v>24</v>
      </c>
      <c r="B254" s="41"/>
      <c r="C254" s="4" t="s">
        <v>0</v>
      </c>
      <c r="E254" s="38">
        <v>24</v>
      </c>
      <c r="F254" s="38"/>
      <c r="G254" s="71"/>
      <c r="H254" s="3"/>
      <c r="I254" s="71"/>
      <c r="J254" s="3"/>
      <c r="K254" s="3"/>
      <c r="L254" s="3"/>
      <c r="M254" s="89"/>
    </row>
    <row r="255" spans="1:13" ht="12">
      <c r="A255" s="41">
        <f t="shared" si="10"/>
        <v>25</v>
      </c>
      <c r="B255" s="41"/>
      <c r="C255" s="5" t="s">
        <v>389</v>
      </c>
      <c r="E255" s="38">
        <v>25</v>
      </c>
      <c r="F255" s="38"/>
      <c r="G255" s="71"/>
      <c r="H255" s="3">
        <f>(462.76+4.5)*2</f>
        <v>934.52</v>
      </c>
      <c r="I255" s="71"/>
      <c r="J255" s="358">
        <f>(544.58+4.5)*2</f>
        <v>1098.16</v>
      </c>
      <c r="K255" s="358"/>
      <c r="L255" s="358">
        <f>(335.03+7+67.24+28.5+10+7.4+53.44+100+4.5)*2</f>
        <v>1226.2199999999998</v>
      </c>
      <c r="M255" s="235">
        <f>(L255/J255)-1</f>
        <v>0.11661324397173423</v>
      </c>
    </row>
    <row r="256" spans="1:13" ht="12">
      <c r="A256" s="41">
        <f t="shared" si="10"/>
        <v>26</v>
      </c>
      <c r="B256" s="41"/>
      <c r="C256" s="4" t="s">
        <v>0</v>
      </c>
      <c r="E256" s="38">
        <v>26</v>
      </c>
      <c r="F256" s="38"/>
      <c r="G256" s="71"/>
      <c r="H256" s="25"/>
      <c r="I256" s="71"/>
      <c r="J256" s="3"/>
      <c r="K256" s="3"/>
      <c r="L256" s="3"/>
      <c r="M256" s="86"/>
    </row>
    <row r="257" spans="1:13" ht="12">
      <c r="A257" s="41">
        <f t="shared" si="10"/>
        <v>27</v>
      </c>
      <c r="B257" s="41"/>
      <c r="C257" s="4" t="s">
        <v>0</v>
      </c>
      <c r="E257" s="38">
        <v>27</v>
      </c>
      <c r="F257" s="38"/>
      <c r="G257" s="71"/>
      <c r="H257" s="17"/>
      <c r="I257" s="71"/>
      <c r="J257" s="3"/>
      <c r="K257" s="3"/>
      <c r="L257" s="3"/>
      <c r="M257" s="86"/>
    </row>
    <row r="258" spans="1:13" ht="12">
      <c r="A258" s="41"/>
      <c r="B258" s="41"/>
      <c r="C258" s="4"/>
      <c r="E258" s="38"/>
      <c r="F258" s="38"/>
      <c r="G258" s="71"/>
      <c r="H258" s="25"/>
      <c r="I258" s="71"/>
      <c r="J258" s="25"/>
      <c r="K258" s="25"/>
      <c r="L258" s="3"/>
      <c r="M258" s="86"/>
    </row>
    <row r="259" spans="1:13" ht="12">
      <c r="A259" s="41" t="s">
        <v>390</v>
      </c>
      <c r="B259" s="41"/>
      <c r="C259" s="4" t="s">
        <v>391</v>
      </c>
      <c r="E259" s="38"/>
      <c r="F259" s="38"/>
      <c r="G259" s="71"/>
      <c r="H259" s="25"/>
      <c r="I259" s="71"/>
      <c r="J259" s="25"/>
      <c r="K259" s="25"/>
      <c r="L259" s="71"/>
      <c r="M259" s="86"/>
    </row>
    <row r="260" spans="1:13" ht="12">
      <c r="A260" s="41"/>
      <c r="B260" s="41"/>
      <c r="C260" s="4" t="s">
        <v>392</v>
      </c>
      <c r="E260" s="38"/>
      <c r="F260" s="38"/>
      <c r="G260" s="71"/>
      <c r="H260" s="86"/>
      <c r="I260" s="71"/>
      <c r="J260" s="86"/>
      <c r="K260" s="86"/>
      <c r="L260" s="71"/>
      <c r="M260" s="86"/>
    </row>
    <row r="261" spans="1:13" ht="12">
      <c r="A261" s="41"/>
      <c r="B261" s="41"/>
      <c r="C261" s="4"/>
      <c r="E261" s="38"/>
      <c r="F261" s="38"/>
      <c r="G261" s="71"/>
      <c r="H261" s="86"/>
      <c r="I261" s="71"/>
      <c r="J261" s="86"/>
      <c r="K261" s="86"/>
      <c r="L261" s="71"/>
      <c r="M261" s="86"/>
    </row>
    <row r="262" spans="1:13" ht="12">
      <c r="A262" s="41"/>
      <c r="B262" s="41"/>
      <c r="C262" s="4"/>
      <c r="E262" s="38"/>
      <c r="F262" s="38"/>
      <c r="G262" s="71"/>
      <c r="H262" s="86"/>
      <c r="I262" s="71"/>
      <c r="J262" s="86"/>
      <c r="K262" s="86"/>
      <c r="L262" s="71"/>
      <c r="M262" s="86"/>
    </row>
    <row r="263" spans="1:13" ht="12">
      <c r="A263" s="41"/>
      <c r="B263" s="41"/>
      <c r="C263" s="4"/>
      <c r="E263" s="38"/>
      <c r="F263" s="38"/>
      <c r="G263" s="71"/>
      <c r="H263" s="86"/>
      <c r="I263" s="71"/>
      <c r="J263" s="86"/>
      <c r="K263" s="86"/>
      <c r="L263" s="71"/>
      <c r="M263" s="86"/>
    </row>
    <row r="264" spans="1:13" ht="12">
      <c r="A264" s="41"/>
      <c r="B264" s="41"/>
      <c r="C264" s="4"/>
      <c r="E264" s="38"/>
      <c r="F264" s="38"/>
      <c r="G264" s="71"/>
      <c r="H264" s="86"/>
      <c r="I264" s="71"/>
      <c r="J264" s="86"/>
      <c r="K264" s="86"/>
      <c r="L264" s="71"/>
      <c r="M264" s="86"/>
    </row>
    <row r="265" spans="1:13" ht="8.25" customHeight="1">
      <c r="A265" s="41"/>
      <c r="B265" s="41"/>
      <c r="C265" s="4"/>
      <c r="E265" s="38"/>
      <c r="F265" s="38"/>
      <c r="G265" s="71"/>
      <c r="H265" s="86"/>
      <c r="I265" s="71"/>
      <c r="J265" s="86"/>
      <c r="K265" s="86"/>
      <c r="L265" s="71"/>
      <c r="M265" s="86"/>
    </row>
    <row r="266" spans="1:13" ht="12" hidden="1">
      <c r="A266" s="41"/>
      <c r="B266" s="41"/>
      <c r="C266" s="4"/>
      <c r="E266" s="38"/>
      <c r="F266" s="38"/>
      <c r="G266" s="71"/>
      <c r="H266" s="86"/>
      <c r="I266" s="71"/>
      <c r="J266" s="86"/>
      <c r="K266" s="86"/>
      <c r="L266" s="71"/>
      <c r="M266" s="86"/>
    </row>
    <row r="267" spans="1:13" ht="12">
      <c r="A267" s="41"/>
      <c r="B267" s="41"/>
      <c r="C267" s="4"/>
      <c r="E267" s="38"/>
      <c r="F267" s="38"/>
      <c r="G267" s="71"/>
      <c r="H267" s="86"/>
      <c r="I267" s="71"/>
      <c r="J267" s="86"/>
      <c r="K267" s="86"/>
      <c r="L267" s="71"/>
      <c r="M267" s="86"/>
    </row>
    <row r="268" spans="1:13" ht="12">
      <c r="A268" s="41"/>
      <c r="B268" s="41"/>
      <c r="C268" s="4"/>
      <c r="E268" s="38"/>
      <c r="F268" s="38"/>
      <c r="G268" s="71"/>
      <c r="H268" s="86"/>
      <c r="I268" s="71"/>
      <c r="J268" s="86"/>
      <c r="K268" s="86"/>
      <c r="L268" s="71"/>
      <c r="M268" s="86"/>
    </row>
    <row r="269" spans="1:13" ht="12">
      <c r="A269" s="41"/>
      <c r="B269" s="41"/>
      <c r="C269" s="4"/>
      <c r="E269" s="38"/>
      <c r="F269" s="38"/>
      <c r="G269" s="71"/>
      <c r="H269" s="86"/>
      <c r="I269" s="71"/>
      <c r="J269" s="86"/>
      <c r="K269" s="86"/>
      <c r="L269" s="71"/>
      <c r="M269" s="86"/>
    </row>
    <row r="270" spans="1:13" ht="12">
      <c r="A270" s="41"/>
      <c r="B270" s="41"/>
      <c r="C270" s="4"/>
      <c r="E270" s="38"/>
      <c r="F270" s="38"/>
      <c r="G270" s="71"/>
      <c r="H270" s="86"/>
      <c r="I270" s="71"/>
      <c r="J270" s="86"/>
      <c r="K270" s="86"/>
      <c r="L270" s="71"/>
      <c r="M270" s="86"/>
    </row>
    <row r="271" spans="1:13" ht="12">
      <c r="A271" s="41"/>
      <c r="B271" s="41"/>
      <c r="C271" s="4"/>
      <c r="E271" s="38"/>
      <c r="F271" s="38"/>
      <c r="G271" s="71"/>
      <c r="H271" s="86"/>
      <c r="I271" s="71"/>
      <c r="J271" s="86"/>
      <c r="K271" s="86"/>
      <c r="L271" s="71"/>
      <c r="M271" s="86"/>
    </row>
    <row r="272" spans="1:7" ht="12">
      <c r="A272" s="41"/>
      <c r="B272" s="41"/>
      <c r="E272" s="38"/>
      <c r="F272" s="38"/>
      <c r="G272" s="71"/>
    </row>
    <row r="273" spans="1:13" ht="12">
      <c r="A273" s="68" t="s">
        <v>372</v>
      </c>
      <c r="B273" s="68"/>
      <c r="E273" s="38"/>
      <c r="F273" s="38"/>
      <c r="G273" s="71"/>
      <c r="H273" s="86"/>
      <c r="I273" s="71"/>
      <c r="J273" s="86"/>
      <c r="K273" s="86"/>
      <c r="L273" s="71"/>
      <c r="M273" s="189" t="s">
        <v>155</v>
      </c>
    </row>
    <row r="274" spans="1:13" ht="12">
      <c r="A274" s="433" t="s">
        <v>605</v>
      </c>
      <c r="B274" s="433"/>
      <c r="C274" s="433"/>
      <c r="D274" s="433"/>
      <c r="E274" s="433"/>
      <c r="F274" s="433"/>
      <c r="G274" s="433"/>
      <c r="H274" s="433"/>
      <c r="I274" s="433"/>
      <c r="J274" s="433"/>
      <c r="K274" s="433"/>
      <c r="L274" s="433"/>
      <c r="M274" s="433"/>
    </row>
    <row r="275" spans="1:13" ht="12">
      <c r="A275" s="68" t="s">
        <v>345</v>
      </c>
      <c r="B275" s="68"/>
      <c r="J275" s="86"/>
      <c r="K275" s="86"/>
      <c r="L275" s="71"/>
      <c r="M275" s="190" t="s">
        <v>346</v>
      </c>
    </row>
    <row r="276" spans="1:13" ht="12">
      <c r="A276" s="15" t="s">
        <v>1</v>
      </c>
      <c r="B276" s="15"/>
      <c r="C276" s="15" t="s">
        <v>1</v>
      </c>
      <c r="D276" s="15" t="s">
        <v>1</v>
      </c>
      <c r="E276" s="15" t="s">
        <v>1</v>
      </c>
      <c r="F276" s="15"/>
      <c r="G276" s="15" t="s">
        <v>1</v>
      </c>
      <c r="H276" s="15" t="s">
        <v>1</v>
      </c>
      <c r="I276" s="15" t="s">
        <v>1</v>
      </c>
      <c r="J276" s="15" t="s">
        <v>1</v>
      </c>
      <c r="K276" s="15"/>
      <c r="L276" s="15" t="s">
        <v>1</v>
      </c>
      <c r="M276" s="15" t="s">
        <v>1</v>
      </c>
    </row>
    <row r="277" spans="1:13" ht="12">
      <c r="A277" s="73" t="s">
        <v>2</v>
      </c>
      <c r="B277" s="73"/>
      <c r="E277" s="73" t="s">
        <v>2</v>
      </c>
      <c r="F277" s="73"/>
      <c r="G277" s="71"/>
      <c r="H277" s="123" t="s">
        <v>172</v>
      </c>
      <c r="I277" s="89"/>
      <c r="J277" s="123" t="s">
        <v>280</v>
      </c>
      <c r="K277" s="123"/>
      <c r="L277" s="123" t="s">
        <v>289</v>
      </c>
      <c r="M277" s="189" t="s">
        <v>289</v>
      </c>
    </row>
    <row r="278" spans="1:13" ht="12">
      <c r="A278" s="73" t="s">
        <v>4</v>
      </c>
      <c r="B278" s="73"/>
      <c r="C278" s="4" t="s">
        <v>0</v>
      </c>
      <c r="E278" s="73" t="s">
        <v>4</v>
      </c>
      <c r="F278" s="73"/>
      <c r="G278" s="71"/>
      <c r="H278" s="123" t="s">
        <v>7</v>
      </c>
      <c r="I278" s="71"/>
      <c r="J278" s="123" t="s">
        <v>7</v>
      </c>
      <c r="K278" s="123"/>
      <c r="L278" s="123" t="s">
        <v>8</v>
      </c>
      <c r="M278" s="189" t="s">
        <v>380</v>
      </c>
    </row>
    <row r="279" spans="1:13" ht="12">
      <c r="A279" s="15" t="s">
        <v>1</v>
      </c>
      <c r="B279" s="15"/>
      <c r="C279" s="15" t="s">
        <v>1</v>
      </c>
      <c r="D279" s="15" t="s">
        <v>1</v>
      </c>
      <c r="E279" s="15" t="s">
        <v>1</v>
      </c>
      <c r="F279" s="15"/>
      <c r="G279" s="15" t="s">
        <v>1</v>
      </c>
      <c r="H279" s="15" t="s">
        <v>1</v>
      </c>
      <c r="I279" s="15" t="s">
        <v>1</v>
      </c>
      <c r="J279" s="15" t="s">
        <v>1</v>
      </c>
      <c r="K279" s="15"/>
      <c r="L279" s="15" t="s">
        <v>1</v>
      </c>
      <c r="M279" s="15" t="s">
        <v>1</v>
      </c>
    </row>
    <row r="280" spans="1:13" ht="12">
      <c r="A280" s="41">
        <v>1</v>
      </c>
      <c r="B280" s="41"/>
      <c r="C280" s="4" t="s">
        <v>393</v>
      </c>
      <c r="E280" s="38">
        <v>1</v>
      </c>
      <c r="F280" s="38"/>
      <c r="G280" s="71"/>
      <c r="H280" s="86"/>
      <c r="I280" s="71"/>
      <c r="J280" s="86"/>
      <c r="K280" s="86"/>
      <c r="L280" s="71"/>
      <c r="M280" s="86"/>
    </row>
    <row r="281" spans="1:13" ht="12">
      <c r="A281" s="41">
        <f aca="true" t="shared" si="12" ref="A281:A307">(A280+1)</f>
        <v>2</v>
      </c>
      <c r="B281" s="41"/>
      <c r="C281" s="4" t="s">
        <v>151</v>
      </c>
      <c r="E281" s="38">
        <v>2</v>
      </c>
      <c r="F281" s="38"/>
      <c r="G281" s="71"/>
      <c r="H281" s="3">
        <f>10950*2</f>
        <v>21900</v>
      </c>
      <c r="I281" s="77"/>
      <c r="J281" s="358">
        <f>11225*2</f>
        <v>22450</v>
      </c>
      <c r="K281" s="358"/>
      <c r="L281" s="358">
        <f>11790*2</f>
        <v>23580</v>
      </c>
      <c r="M281" s="235">
        <f>(L281/J281)-1</f>
        <v>0.05033407572383064</v>
      </c>
    </row>
    <row r="282" spans="1:13" ht="12">
      <c r="A282" s="41">
        <f t="shared" si="12"/>
        <v>3</v>
      </c>
      <c r="B282" s="41"/>
      <c r="C282" s="4" t="s">
        <v>152</v>
      </c>
      <c r="E282" s="38">
        <v>3</v>
      </c>
      <c r="F282" s="38"/>
      <c r="G282" s="71"/>
      <c r="H282" s="3"/>
      <c r="I282" s="77"/>
      <c r="J282" s="358"/>
      <c r="K282" s="358"/>
      <c r="L282" s="358"/>
      <c r="M282" s="235"/>
    </row>
    <row r="283" spans="1:13" ht="12">
      <c r="A283" s="41">
        <f t="shared" si="12"/>
        <v>4</v>
      </c>
      <c r="B283" s="41"/>
      <c r="C283" s="4" t="s">
        <v>382</v>
      </c>
      <c r="E283" s="38">
        <v>4</v>
      </c>
      <c r="F283" s="38"/>
      <c r="G283" s="71"/>
      <c r="H283" s="3">
        <f>12348*2</f>
        <v>24696</v>
      </c>
      <c r="I283" s="77"/>
      <c r="J283" s="358">
        <f>12650*2</f>
        <v>25300</v>
      </c>
      <c r="K283" s="358"/>
      <c r="L283" s="358">
        <f>13280*2</f>
        <v>26560</v>
      </c>
      <c r="M283" s="235">
        <f>(L283/J283)-1</f>
        <v>0.04980237154150191</v>
      </c>
    </row>
    <row r="284" spans="1:13" ht="12">
      <c r="A284" s="41">
        <f t="shared" si="12"/>
        <v>5</v>
      </c>
      <c r="B284" s="41"/>
      <c r="C284" s="5" t="s">
        <v>383</v>
      </c>
      <c r="E284" s="38">
        <v>5</v>
      </c>
      <c r="F284" s="38"/>
      <c r="G284" s="71"/>
      <c r="H284" s="3">
        <f>11610*2</f>
        <v>23220</v>
      </c>
      <c r="I284" s="77"/>
      <c r="J284" s="358">
        <f>11900*2</f>
        <v>23800</v>
      </c>
      <c r="K284" s="358"/>
      <c r="L284" s="358">
        <f>12645*2</f>
        <v>25290</v>
      </c>
      <c r="M284" s="235">
        <f>(L284/J284)-1</f>
        <v>0.06260504201680672</v>
      </c>
    </row>
    <row r="285" spans="1:13" ht="12">
      <c r="A285" s="41">
        <f t="shared" si="12"/>
        <v>6</v>
      </c>
      <c r="B285" s="41"/>
      <c r="C285" s="4" t="s">
        <v>384</v>
      </c>
      <c r="E285" s="38">
        <v>6</v>
      </c>
      <c r="F285" s="38"/>
      <c r="G285" s="71"/>
      <c r="H285" s="3">
        <f>11070*2</f>
        <v>22140</v>
      </c>
      <c r="I285" s="77"/>
      <c r="J285" s="358">
        <f>11350*2</f>
        <v>22700</v>
      </c>
      <c r="K285" s="358"/>
      <c r="L285" s="358">
        <f>11915*2</f>
        <v>23830</v>
      </c>
      <c r="M285" s="235">
        <f>(L285/J285)-1</f>
        <v>0.04977973568281935</v>
      </c>
    </row>
    <row r="286" spans="1:13" ht="12">
      <c r="A286" s="41">
        <f t="shared" si="12"/>
        <v>7</v>
      </c>
      <c r="B286" s="41"/>
      <c r="C286" s="4" t="s">
        <v>0</v>
      </c>
      <c r="E286" s="38">
        <v>7</v>
      </c>
      <c r="F286" s="38"/>
      <c r="G286" s="71"/>
      <c r="H286" s="3"/>
      <c r="I286" s="77"/>
      <c r="J286" s="358"/>
      <c r="K286" s="358"/>
      <c r="L286" s="358"/>
      <c r="M286" s="235"/>
    </row>
    <row r="287" spans="1:13" ht="12">
      <c r="A287" s="41">
        <f t="shared" si="12"/>
        <v>8</v>
      </c>
      <c r="B287" s="41"/>
      <c r="E287" s="38">
        <v>8</v>
      </c>
      <c r="F287" s="38"/>
      <c r="G287" s="71"/>
      <c r="H287" s="3"/>
      <c r="I287" s="71"/>
      <c r="J287" s="358"/>
      <c r="K287" s="358"/>
      <c r="L287" s="358"/>
      <c r="M287" s="235"/>
    </row>
    <row r="288" spans="1:13" ht="12">
      <c r="A288" s="41">
        <f t="shared" si="12"/>
        <v>9</v>
      </c>
      <c r="B288" s="41"/>
      <c r="C288" s="4" t="s">
        <v>385</v>
      </c>
      <c r="E288" s="38">
        <v>9</v>
      </c>
      <c r="F288" s="38"/>
      <c r="G288" s="71"/>
      <c r="H288" s="3">
        <f>462.76*2</f>
        <v>925.52</v>
      </c>
      <c r="I288" s="71"/>
      <c r="J288" s="358">
        <f>544.58*2</f>
        <v>1089.16</v>
      </c>
      <c r="K288" s="358"/>
      <c r="L288" s="358">
        <f>(335.03+7+67.24+28.5+10+7.4+53.44+100)*2</f>
        <v>1217.2199999999998</v>
      </c>
      <c r="M288" s="235">
        <f>(L288/J288)-1</f>
        <v>0.11757684821330172</v>
      </c>
    </row>
    <row r="289" spans="1:13" ht="12">
      <c r="A289" s="41">
        <f t="shared" si="12"/>
        <v>10</v>
      </c>
      <c r="B289" s="41"/>
      <c r="C289" s="4" t="s">
        <v>0</v>
      </c>
      <c r="E289" s="38">
        <v>10</v>
      </c>
      <c r="F289" s="38"/>
      <c r="G289" s="71"/>
      <c r="H289" s="3"/>
      <c r="I289" s="71"/>
      <c r="J289" s="358"/>
      <c r="K289" s="358"/>
      <c r="L289" s="358"/>
      <c r="M289" s="235"/>
    </row>
    <row r="290" spans="1:13" ht="12">
      <c r="A290" s="41">
        <f t="shared" si="12"/>
        <v>11</v>
      </c>
      <c r="B290" s="41"/>
      <c r="C290" s="4" t="s">
        <v>153</v>
      </c>
      <c r="E290" s="38">
        <v>11</v>
      </c>
      <c r="F290" s="38"/>
      <c r="G290" s="71"/>
      <c r="H290" s="3"/>
      <c r="I290" s="71"/>
      <c r="J290" s="358"/>
      <c r="K290" s="358"/>
      <c r="L290" s="358"/>
      <c r="M290" s="235"/>
    </row>
    <row r="291" spans="1:13" ht="12">
      <c r="A291" s="41">
        <f t="shared" si="12"/>
        <v>12</v>
      </c>
      <c r="B291" s="41"/>
      <c r="C291" s="4" t="s">
        <v>151</v>
      </c>
      <c r="E291" s="38">
        <v>12</v>
      </c>
      <c r="F291" s="38"/>
      <c r="G291" s="71"/>
      <c r="H291" s="3">
        <f>10755*2</f>
        <v>21510</v>
      </c>
      <c r="I291" s="71"/>
      <c r="J291" s="358">
        <f>10863*2</f>
        <v>21726</v>
      </c>
      <c r="K291" s="358"/>
      <c r="L291" s="358">
        <f>10972*2</f>
        <v>21944</v>
      </c>
      <c r="M291" s="235">
        <f>(L291/J291)-1</f>
        <v>0.010034060572585934</v>
      </c>
    </row>
    <row r="292" spans="1:13" ht="12">
      <c r="A292" s="41">
        <f t="shared" si="12"/>
        <v>13</v>
      </c>
      <c r="B292" s="41"/>
      <c r="C292" s="4" t="s">
        <v>152</v>
      </c>
      <c r="E292" s="38">
        <v>13</v>
      </c>
      <c r="F292" s="38"/>
      <c r="G292" s="71"/>
      <c r="H292" s="3"/>
      <c r="I292" s="71"/>
      <c r="J292" s="358"/>
      <c r="K292" s="358"/>
      <c r="L292" s="358"/>
      <c r="M292" s="235"/>
    </row>
    <row r="293" spans="1:13" ht="12">
      <c r="A293" s="41">
        <f t="shared" si="12"/>
        <v>14</v>
      </c>
      <c r="B293" s="41"/>
      <c r="C293" s="4" t="s">
        <v>394</v>
      </c>
      <c r="E293" s="38">
        <v>14</v>
      </c>
      <c r="F293" s="38"/>
      <c r="G293" s="71"/>
      <c r="H293" s="359">
        <f>12078*2</f>
        <v>24156</v>
      </c>
      <c r="I293" s="185"/>
      <c r="J293" s="358">
        <f>12195*2</f>
        <v>24390</v>
      </c>
      <c r="K293" s="358"/>
      <c r="L293" s="358">
        <f>12317*2</f>
        <v>24634</v>
      </c>
      <c r="M293" s="235">
        <f>(L293/J293)-1</f>
        <v>0.010004100041000497</v>
      </c>
    </row>
    <row r="294" spans="1:13" ht="12">
      <c r="A294" s="41">
        <f t="shared" si="12"/>
        <v>15</v>
      </c>
      <c r="B294" s="41"/>
      <c r="C294" s="4" t="s">
        <v>383</v>
      </c>
      <c r="E294" s="38">
        <v>15</v>
      </c>
      <c r="F294" s="38"/>
      <c r="G294" s="71"/>
      <c r="H294" s="359">
        <f>11403*2</f>
        <v>22806</v>
      </c>
      <c r="I294" s="185"/>
      <c r="J294" s="358">
        <f>11520*2</f>
        <v>23040</v>
      </c>
      <c r="K294" s="358"/>
      <c r="L294" s="358">
        <f>11788*2</f>
        <v>23576</v>
      </c>
      <c r="M294" s="235">
        <f>(L294/J294)-1</f>
        <v>0.023263888888888973</v>
      </c>
    </row>
    <row r="295" spans="1:13" ht="12">
      <c r="A295" s="41">
        <f t="shared" si="12"/>
        <v>16</v>
      </c>
      <c r="B295" s="41"/>
      <c r="C295" s="4" t="s">
        <v>384</v>
      </c>
      <c r="E295" s="38">
        <v>16</v>
      </c>
      <c r="F295" s="38"/>
      <c r="G295" s="71"/>
      <c r="H295" s="359">
        <f>10881*2</f>
        <v>21762</v>
      </c>
      <c r="I295" s="185"/>
      <c r="J295" s="358">
        <f>10989*2</f>
        <v>21978</v>
      </c>
      <c r="K295" s="358"/>
      <c r="L295" s="358">
        <f>11099*2</f>
        <v>22198</v>
      </c>
      <c r="M295" s="235">
        <f>(L295/J295)-1</f>
        <v>0.010010010010010006</v>
      </c>
    </row>
    <row r="296" spans="1:13" ht="12">
      <c r="A296" s="41">
        <f t="shared" si="12"/>
        <v>17</v>
      </c>
      <c r="B296" s="41"/>
      <c r="E296" s="38">
        <v>17</v>
      </c>
      <c r="F296" s="38"/>
      <c r="G296" s="71"/>
      <c r="H296" s="1"/>
      <c r="J296" s="358"/>
      <c r="K296" s="358"/>
      <c r="L296" s="358"/>
      <c r="M296" s="235"/>
    </row>
    <row r="297" spans="1:13" ht="12">
      <c r="A297" s="41">
        <f t="shared" si="12"/>
        <v>18</v>
      </c>
      <c r="B297" s="41"/>
      <c r="E297" s="38">
        <v>18</v>
      </c>
      <c r="F297" s="38"/>
      <c r="G297" s="71"/>
      <c r="H297" s="1"/>
      <c r="J297" s="358"/>
      <c r="K297" s="358"/>
      <c r="L297" s="358"/>
      <c r="M297" s="235"/>
    </row>
    <row r="298" spans="1:13" ht="12">
      <c r="A298" s="41">
        <f t="shared" si="12"/>
        <v>19</v>
      </c>
      <c r="B298" s="41"/>
      <c r="C298" s="5" t="s">
        <v>154</v>
      </c>
      <c r="E298" s="38">
        <v>19</v>
      </c>
      <c r="F298" s="38"/>
      <c r="G298" s="71"/>
      <c r="H298" s="3"/>
      <c r="I298" s="71"/>
      <c r="J298" s="358"/>
      <c r="K298" s="358"/>
      <c r="L298" s="358"/>
      <c r="M298" s="235"/>
    </row>
    <row r="299" spans="1:13" ht="12">
      <c r="A299" s="41">
        <f t="shared" si="12"/>
        <v>20</v>
      </c>
      <c r="B299" s="41"/>
      <c r="C299" s="4" t="s">
        <v>151</v>
      </c>
      <c r="E299" s="38">
        <v>20</v>
      </c>
      <c r="F299" s="38"/>
      <c r="G299" s="71"/>
      <c r="H299" s="1"/>
      <c r="J299" s="358"/>
      <c r="K299" s="358"/>
      <c r="L299" s="358"/>
      <c r="M299" s="235"/>
    </row>
    <row r="300" spans="1:13" ht="12">
      <c r="A300" s="41">
        <f t="shared" si="12"/>
        <v>21</v>
      </c>
      <c r="B300" s="41"/>
      <c r="C300" s="4" t="s">
        <v>152</v>
      </c>
      <c r="E300" s="38">
        <v>21</v>
      </c>
      <c r="F300" s="38"/>
      <c r="G300" s="71"/>
      <c r="H300" s="3"/>
      <c r="I300" s="71"/>
      <c r="J300" s="3"/>
      <c r="K300" s="3"/>
      <c r="L300" s="3"/>
      <c r="M300" s="235"/>
    </row>
    <row r="301" spans="1:13" ht="12">
      <c r="A301" s="41">
        <f t="shared" si="12"/>
        <v>22</v>
      </c>
      <c r="B301" s="41"/>
      <c r="C301" s="4" t="s">
        <v>395</v>
      </c>
      <c r="E301" s="38">
        <v>22</v>
      </c>
      <c r="F301" s="38"/>
      <c r="G301" s="71"/>
      <c r="H301" s="359">
        <f>13572*2</f>
        <v>27144</v>
      </c>
      <c r="I301" s="185"/>
      <c r="J301" s="3">
        <f>14706*2</f>
        <v>29412</v>
      </c>
      <c r="K301" s="3"/>
      <c r="L301" s="3">
        <f>14853*2</f>
        <v>29706</v>
      </c>
      <c r="M301" s="235">
        <f>(L301/J301)-1</f>
        <v>0.009995920032639827</v>
      </c>
    </row>
    <row r="302" spans="1:13" ht="12">
      <c r="A302" s="41">
        <f t="shared" si="12"/>
        <v>23</v>
      </c>
      <c r="B302" s="41"/>
      <c r="E302" s="38">
        <v>23</v>
      </c>
      <c r="F302" s="38"/>
      <c r="G302" s="71"/>
      <c r="H302" s="3"/>
      <c r="I302" s="71"/>
      <c r="J302" s="3"/>
      <c r="K302" s="3"/>
      <c r="L302" s="3"/>
      <c r="M302" s="89"/>
    </row>
    <row r="303" spans="1:13" ht="12">
      <c r="A303" s="41">
        <f>(A302+1)</f>
        <v>24</v>
      </c>
      <c r="B303" s="41"/>
      <c r="C303" s="4"/>
      <c r="E303" s="38">
        <v>24</v>
      </c>
      <c r="F303" s="38"/>
      <c r="G303" s="71"/>
      <c r="H303" s="3"/>
      <c r="I303" s="71"/>
      <c r="J303" s="3"/>
      <c r="K303" s="3"/>
      <c r="L303" s="3"/>
      <c r="M303" s="89"/>
    </row>
    <row r="304" spans="1:13" ht="12">
      <c r="A304" s="41">
        <f t="shared" si="12"/>
        <v>25</v>
      </c>
      <c r="B304" s="41"/>
      <c r="C304" s="5" t="s">
        <v>389</v>
      </c>
      <c r="E304" s="38">
        <v>25</v>
      </c>
      <c r="F304" s="38"/>
      <c r="G304" s="71"/>
      <c r="H304" s="3">
        <f>(462.76+4.5)*2</f>
        <v>934.52</v>
      </c>
      <c r="I304" s="71"/>
      <c r="J304" s="358">
        <f>(544.58+4.5)*2</f>
        <v>1098.16</v>
      </c>
      <c r="K304" s="358"/>
      <c r="L304" s="358">
        <f>(335.03+7+67.24+28.5+10+7.4+53.44+100+4.5)*2</f>
        <v>1226.2199999999998</v>
      </c>
      <c r="M304" s="235">
        <f>(L304/J304)-1</f>
        <v>0.11661324397173423</v>
      </c>
    </row>
    <row r="305" spans="1:13" ht="12">
      <c r="A305" s="41">
        <f t="shared" si="12"/>
        <v>26</v>
      </c>
      <c r="B305" s="41"/>
      <c r="C305" s="4" t="s">
        <v>0</v>
      </c>
      <c r="E305" s="38">
        <v>26</v>
      </c>
      <c r="F305" s="38"/>
      <c r="G305" s="71"/>
      <c r="H305" s="25"/>
      <c r="I305" s="71"/>
      <c r="J305" s="25"/>
      <c r="K305" s="25"/>
      <c r="L305" s="3"/>
      <c r="M305" s="86"/>
    </row>
    <row r="306" spans="1:13" ht="12">
      <c r="A306" s="41">
        <f t="shared" si="12"/>
        <v>27</v>
      </c>
      <c r="B306" s="41"/>
      <c r="C306" s="4" t="s">
        <v>0</v>
      </c>
      <c r="E306" s="38">
        <v>27</v>
      </c>
      <c r="F306" s="38"/>
      <c r="G306" s="71"/>
      <c r="H306" s="17"/>
      <c r="I306" s="71"/>
      <c r="J306" s="25"/>
      <c r="K306" s="25"/>
      <c r="L306" s="25"/>
      <c r="M306" s="86"/>
    </row>
    <row r="307" spans="1:13" ht="12">
      <c r="A307" s="41">
        <f t="shared" si="12"/>
        <v>28</v>
      </c>
      <c r="B307" s="41"/>
      <c r="C307" s="4"/>
      <c r="E307" s="38">
        <v>28</v>
      </c>
      <c r="F307" s="38"/>
      <c r="G307" s="71"/>
      <c r="H307" s="25"/>
      <c r="I307" s="71"/>
      <c r="J307" s="25"/>
      <c r="K307" s="25"/>
      <c r="L307" s="25"/>
      <c r="M307" s="86"/>
    </row>
    <row r="308" spans="1:13" ht="12">
      <c r="A308" s="41"/>
      <c r="B308" s="41"/>
      <c r="C308" s="4"/>
      <c r="E308" s="38"/>
      <c r="F308" s="38"/>
      <c r="G308" s="71"/>
      <c r="H308" s="25"/>
      <c r="I308" s="71"/>
      <c r="J308" s="25"/>
      <c r="K308" s="25"/>
      <c r="L308" s="25"/>
      <c r="M308" s="86"/>
    </row>
    <row r="309" spans="1:13" ht="12">
      <c r="A309" s="41"/>
      <c r="B309" s="41"/>
      <c r="C309" s="4"/>
      <c r="E309" s="38"/>
      <c r="F309" s="38"/>
      <c r="G309" s="71"/>
      <c r="H309" s="25"/>
      <c r="I309" s="71"/>
      <c r="J309" s="25"/>
      <c r="K309" s="25"/>
      <c r="L309" s="25"/>
      <c r="M309" s="86"/>
    </row>
    <row r="310" spans="1:13" ht="12">
      <c r="A310" s="41"/>
      <c r="B310" s="41"/>
      <c r="C310" s="4"/>
      <c r="E310" s="38"/>
      <c r="F310" s="38"/>
      <c r="G310" s="71"/>
      <c r="H310" s="25"/>
      <c r="I310" s="71"/>
      <c r="J310" s="25"/>
      <c r="K310" s="25"/>
      <c r="L310" s="25"/>
      <c r="M310" s="86"/>
    </row>
    <row r="311" spans="1:13" ht="12">
      <c r="A311" s="41"/>
      <c r="B311" s="41"/>
      <c r="C311" s="4"/>
      <c r="E311" s="38"/>
      <c r="F311" s="38"/>
      <c r="G311" s="71"/>
      <c r="H311" s="25"/>
      <c r="I311" s="71"/>
      <c r="J311" s="25"/>
      <c r="K311" s="25"/>
      <c r="L311" s="25"/>
      <c r="M311" s="86"/>
    </row>
    <row r="312" spans="1:13" ht="12">
      <c r="A312" s="41"/>
      <c r="B312" s="41"/>
      <c r="C312" s="4"/>
      <c r="E312" s="38"/>
      <c r="F312" s="38"/>
      <c r="G312" s="71"/>
      <c r="H312" s="25"/>
      <c r="I312" s="71"/>
      <c r="J312" s="25"/>
      <c r="K312" s="25"/>
      <c r="L312" s="25"/>
      <c r="M312" s="86"/>
    </row>
    <row r="313" spans="1:13" ht="12">
      <c r="A313" s="41"/>
      <c r="B313" s="41"/>
      <c r="C313" s="4"/>
      <c r="E313" s="38"/>
      <c r="F313" s="38"/>
      <c r="G313" s="71"/>
      <c r="H313" s="25"/>
      <c r="I313" s="71"/>
      <c r="J313" s="25"/>
      <c r="K313" s="25"/>
      <c r="L313" s="25"/>
      <c r="M313" s="86"/>
    </row>
    <row r="314" spans="1:13" ht="12">
      <c r="A314" s="41"/>
      <c r="B314" s="41"/>
      <c r="C314" s="4"/>
      <c r="E314" s="38"/>
      <c r="F314" s="38"/>
      <c r="G314" s="71"/>
      <c r="H314" s="25"/>
      <c r="I314" s="71"/>
      <c r="J314" s="25"/>
      <c r="K314" s="25"/>
      <c r="L314" s="25"/>
      <c r="M314" s="86"/>
    </row>
    <row r="315" spans="1:13" ht="12">
      <c r="A315" s="41"/>
      <c r="B315" s="41"/>
      <c r="C315" s="4"/>
      <c r="E315" s="38"/>
      <c r="F315" s="38"/>
      <c r="G315" s="71"/>
      <c r="H315" s="25"/>
      <c r="I315" s="71"/>
      <c r="J315" s="25"/>
      <c r="K315" s="25"/>
      <c r="L315" s="25"/>
      <c r="M315" s="86"/>
    </row>
    <row r="316" spans="1:13" ht="12">
      <c r="A316" s="41"/>
      <c r="B316" s="41"/>
      <c r="C316" s="4"/>
      <c r="E316" s="38"/>
      <c r="F316" s="38"/>
      <c r="G316" s="71"/>
      <c r="H316" s="25"/>
      <c r="I316" s="71"/>
      <c r="J316" s="25"/>
      <c r="K316" s="25"/>
      <c r="L316" s="25"/>
      <c r="M316" s="86"/>
    </row>
    <row r="317" spans="1:13" ht="12">
      <c r="A317" s="41"/>
      <c r="B317" s="41"/>
      <c r="C317" s="4"/>
      <c r="E317" s="38"/>
      <c r="F317" s="38"/>
      <c r="G317" s="71"/>
      <c r="H317" s="25"/>
      <c r="I317" s="71"/>
      <c r="J317" s="25"/>
      <c r="K317" s="25"/>
      <c r="L317" s="25"/>
      <c r="M317" s="86"/>
    </row>
    <row r="318" spans="1:13" ht="12">
      <c r="A318" s="41"/>
      <c r="B318" s="41"/>
      <c r="C318" s="4"/>
      <c r="E318" s="38"/>
      <c r="F318" s="38"/>
      <c r="G318" s="71"/>
      <c r="H318" s="25"/>
      <c r="I318" s="71"/>
      <c r="J318" s="25"/>
      <c r="K318" s="25"/>
      <c r="L318" s="25"/>
      <c r="M318" s="86"/>
    </row>
    <row r="319" ht="12">
      <c r="L319" s="17"/>
    </row>
    <row r="320" spans="3:13" ht="12">
      <c r="C320" s="4" t="s">
        <v>372</v>
      </c>
      <c r="L320" s="17"/>
      <c r="M320" s="14" t="s">
        <v>176</v>
      </c>
    </row>
    <row r="321" spans="1:13" ht="12">
      <c r="A321" s="429" t="s">
        <v>396</v>
      </c>
      <c r="B321" s="429"/>
      <c r="C321" s="429"/>
      <c r="D321" s="429"/>
      <c r="E321" s="429"/>
      <c r="F321" s="429"/>
      <c r="G321" s="429"/>
      <c r="H321" s="429"/>
      <c r="I321" s="429"/>
      <c r="J321" s="429"/>
      <c r="K321" s="429"/>
      <c r="L321" s="429"/>
      <c r="M321" s="429"/>
    </row>
    <row r="322" spans="3:13" ht="12">
      <c r="C322" s="68" t="s">
        <v>397</v>
      </c>
      <c r="D322" s="360"/>
      <c r="M322" s="190" t="s">
        <v>398</v>
      </c>
    </row>
    <row r="323" spans="3:13" ht="12">
      <c r="C323" s="15" t="s">
        <v>1</v>
      </c>
      <c r="D323" s="15" t="s">
        <v>1</v>
      </c>
      <c r="G323" s="15" t="s">
        <v>1</v>
      </c>
      <c r="H323" s="15" t="s">
        <v>1</v>
      </c>
      <c r="I323" s="15" t="s">
        <v>1</v>
      </c>
      <c r="J323" s="15" t="s">
        <v>1</v>
      </c>
      <c r="K323" s="15"/>
      <c r="L323" s="15" t="s">
        <v>1</v>
      </c>
      <c r="M323" s="15"/>
    </row>
    <row r="324" spans="4:9" ht="12">
      <c r="D324" s="74" t="s">
        <v>172</v>
      </c>
      <c r="I324" s="74" t="s">
        <v>280</v>
      </c>
    </row>
    <row r="325" spans="4:9" ht="12">
      <c r="D325" s="74" t="s">
        <v>178</v>
      </c>
      <c r="I325" s="74" t="s">
        <v>178</v>
      </c>
    </row>
    <row r="326" spans="4:13" ht="12">
      <c r="D326" s="74" t="s">
        <v>21</v>
      </c>
      <c r="G326" s="74" t="s">
        <v>21</v>
      </c>
      <c r="H326" s="74" t="s">
        <v>179</v>
      </c>
      <c r="I326" s="74" t="s">
        <v>21</v>
      </c>
      <c r="J326" s="74" t="s">
        <v>21</v>
      </c>
      <c r="K326" s="74"/>
      <c r="L326" s="74" t="s">
        <v>179</v>
      </c>
      <c r="M326" s="74"/>
    </row>
    <row r="327" spans="3:13" ht="12">
      <c r="C327" s="74" t="s">
        <v>180</v>
      </c>
      <c r="D327" s="74" t="s">
        <v>181</v>
      </c>
      <c r="G327" s="74" t="s">
        <v>182</v>
      </c>
      <c r="H327" s="74" t="s">
        <v>183</v>
      </c>
      <c r="I327" s="74" t="s">
        <v>181</v>
      </c>
      <c r="J327" s="74" t="s">
        <v>182</v>
      </c>
      <c r="K327" s="74"/>
      <c r="L327" s="74" t="s">
        <v>183</v>
      </c>
      <c r="M327" s="74"/>
    </row>
    <row r="328" spans="3:13" ht="12">
      <c r="C328" s="15" t="s">
        <v>1</v>
      </c>
      <c r="D328" s="15" t="s">
        <v>1</v>
      </c>
      <c r="G328" s="15" t="s">
        <v>1</v>
      </c>
      <c r="H328" s="15" t="s">
        <v>1</v>
      </c>
      <c r="I328" s="15" t="s">
        <v>1</v>
      </c>
      <c r="J328" s="15" t="s">
        <v>1</v>
      </c>
      <c r="K328" s="15"/>
      <c r="L328" s="15" t="s">
        <v>1</v>
      </c>
      <c r="M328" s="15"/>
    </row>
    <row r="330" spans="3:12" ht="12">
      <c r="C330" s="4" t="s">
        <v>184</v>
      </c>
      <c r="D330" s="48"/>
      <c r="G330" s="48"/>
      <c r="H330" s="178">
        <f>IF(G330=0,0,+D330/+G330)</f>
        <v>0</v>
      </c>
      <c r="I330" s="48"/>
      <c r="J330" s="48"/>
      <c r="K330" s="48"/>
      <c r="L330" s="178">
        <f>IF(J330=0,0,+I330/+J330)</f>
        <v>0</v>
      </c>
    </row>
    <row r="331" spans="4:11" ht="12">
      <c r="D331" s="48"/>
      <c r="G331" s="48"/>
      <c r="I331" s="48"/>
      <c r="J331" s="48"/>
      <c r="K331" s="48"/>
    </row>
    <row r="332" spans="3:13" ht="12">
      <c r="C332" s="4" t="s">
        <v>185</v>
      </c>
      <c r="D332" s="6">
        <f>13663.3</f>
        <v>13663.3</v>
      </c>
      <c r="E332" s="6"/>
      <c r="F332" s="6"/>
      <c r="G332" s="6">
        <f>491.19</f>
        <v>491.19</v>
      </c>
      <c r="H332" s="178">
        <f>IF(G332=0,0,+D332/+G332)</f>
        <v>27.816730796636737</v>
      </c>
      <c r="I332" s="6">
        <f>13619.43</f>
        <v>13619.43</v>
      </c>
      <c r="J332" s="6">
        <f>522.07</f>
        <v>522.07</v>
      </c>
      <c r="K332" s="6"/>
      <c r="L332" s="178">
        <f>IF(J332=0,0,+I332/+J332)</f>
        <v>26.087363763479992</v>
      </c>
      <c r="M332" s="41"/>
    </row>
    <row r="333" spans="4:11" ht="12">
      <c r="D333" s="48"/>
      <c r="E333" s="48"/>
      <c r="F333" s="48"/>
      <c r="G333" s="48"/>
      <c r="I333" s="48"/>
      <c r="J333" s="48"/>
      <c r="K333" s="48"/>
    </row>
    <row r="334" spans="3:13" ht="12">
      <c r="C334" s="4" t="s">
        <v>186</v>
      </c>
      <c r="D334" s="6">
        <f>9848.2</f>
        <v>9848.2</v>
      </c>
      <c r="E334" s="6"/>
      <c r="F334" s="6"/>
      <c r="G334" s="6">
        <f>573.61</f>
        <v>573.61</v>
      </c>
      <c r="H334" s="178">
        <f>IF(G334=0,0,+D334/+G334)</f>
        <v>17.16880807517303</v>
      </c>
      <c r="I334" s="6">
        <f>9826</f>
        <v>9826</v>
      </c>
      <c r="J334" s="6">
        <f>564.52</f>
        <v>564.52</v>
      </c>
      <c r="K334" s="6"/>
      <c r="L334" s="178">
        <f>IF(J334=0,0,+I334/+J334)</f>
        <v>17.40593778785517</v>
      </c>
      <c r="M334" s="41"/>
    </row>
    <row r="335" spans="4:11" ht="12">
      <c r="D335" s="48"/>
      <c r="G335" s="48"/>
      <c r="I335" s="48"/>
      <c r="J335" s="48"/>
      <c r="K335" s="48"/>
    </row>
    <row r="336" spans="3:13" ht="12">
      <c r="C336" s="4" t="s">
        <v>187</v>
      </c>
      <c r="D336" s="6">
        <f>SUM(D330:D334)</f>
        <v>23511.5</v>
      </c>
      <c r="E336" s="41"/>
      <c r="F336" s="41"/>
      <c r="G336" s="6">
        <f>SUM(G330:G334)</f>
        <v>1064.8</v>
      </c>
      <c r="H336" s="178">
        <f>IF(G336=0,0,+D336/+G336)</f>
        <v>22.08067242674681</v>
      </c>
      <c r="I336" s="6">
        <f>SUM(I330:I334)</f>
        <v>23445.43</v>
      </c>
      <c r="J336" s="6">
        <f>SUM(J330:J334)</f>
        <v>1086.5900000000001</v>
      </c>
      <c r="K336" s="6"/>
      <c r="L336" s="178">
        <f>IF(J336=0,0,+I336/+J336)</f>
        <v>21.57707138847219</v>
      </c>
      <c r="M336" s="41"/>
    </row>
    <row r="337" spans="4:11" ht="12">
      <c r="D337" s="48"/>
      <c r="G337" s="48"/>
      <c r="I337" s="48"/>
      <c r="J337" s="48"/>
      <c r="K337" s="48"/>
    </row>
    <row r="338" spans="4:11" ht="12">
      <c r="D338" s="48"/>
      <c r="E338" s="48"/>
      <c r="F338" s="48"/>
      <c r="G338" s="48"/>
      <c r="I338" s="48"/>
      <c r="J338" s="48"/>
      <c r="K338" s="48"/>
    </row>
    <row r="339" spans="3:13" ht="12">
      <c r="C339" s="4" t="s">
        <v>188</v>
      </c>
      <c r="D339" s="48">
        <f>1452.7</f>
        <v>1452.7</v>
      </c>
      <c r="E339" s="48"/>
      <c r="F339" s="48"/>
      <c r="G339" s="48">
        <f>277.47</f>
        <v>277.47</v>
      </c>
      <c r="H339" s="178">
        <f>IF(G339=0,0,+D339/+G339)</f>
        <v>5.2355209572206</v>
      </c>
      <c r="I339" s="48">
        <f>1514.68</f>
        <v>1514.68</v>
      </c>
      <c r="J339" s="48">
        <f>277.55</f>
        <v>277.55</v>
      </c>
      <c r="K339" s="48"/>
      <c r="L339" s="178">
        <f>IF(J339=0,0,+I339/+J339)</f>
        <v>5.457323004863989</v>
      </c>
      <c r="M339" s="41"/>
    </row>
    <row r="340" spans="4:11" ht="12">
      <c r="D340" s="48"/>
      <c r="E340" s="48"/>
      <c r="F340" s="48"/>
      <c r="G340" s="48"/>
      <c r="I340" s="48"/>
      <c r="J340" s="48"/>
      <c r="K340" s="48"/>
    </row>
    <row r="341" spans="3:13" ht="12">
      <c r="C341" s="4" t="s">
        <v>189</v>
      </c>
      <c r="D341" s="48">
        <f>1013.43</f>
        <v>1013.43</v>
      </c>
      <c r="E341" s="48"/>
      <c r="F341" s="48"/>
      <c r="G341" s="48">
        <f>317.09</f>
        <v>317.09</v>
      </c>
      <c r="H341" s="178">
        <f>IF(G341=0,0,+D341/+G341)</f>
        <v>3.1960326721120187</v>
      </c>
      <c r="I341" s="48">
        <f>1000.17</f>
        <v>1000.17</v>
      </c>
      <c r="J341" s="48">
        <f>335.01</f>
        <v>335.01</v>
      </c>
      <c r="K341" s="48"/>
      <c r="L341" s="178">
        <f>IF(J341=0,0,+I341/+J341)</f>
        <v>2.985492970359094</v>
      </c>
      <c r="M341" s="41"/>
    </row>
    <row r="342" spans="4:11" ht="12">
      <c r="D342" s="48"/>
      <c r="E342" s="48"/>
      <c r="F342" s="48"/>
      <c r="G342" s="48"/>
      <c r="I342" s="48"/>
      <c r="J342" s="48"/>
      <c r="K342" s="48"/>
    </row>
    <row r="343" spans="3:13" ht="12">
      <c r="C343" s="4" t="s">
        <v>190</v>
      </c>
      <c r="D343" s="48">
        <f>SUM(D339:D341)</f>
        <v>2466.13</v>
      </c>
      <c r="E343" s="48"/>
      <c r="F343" s="48"/>
      <c r="G343" s="48">
        <f>SUM(G339:G341)</f>
        <v>594.56</v>
      </c>
      <c r="H343" s="178">
        <f>IF(G343=0,0,+D343/+G343)</f>
        <v>4.147823600645856</v>
      </c>
      <c r="I343" s="48">
        <f>SUM(I339:I341)</f>
        <v>2514.85</v>
      </c>
      <c r="J343" s="48">
        <f>SUM(J339:J341)</f>
        <v>612.56</v>
      </c>
      <c r="K343" s="48"/>
      <c r="L343" s="178">
        <f>IF(J343=0,0,+I343/+J343)</f>
        <v>4.105475382003396</v>
      </c>
      <c r="M343" s="41"/>
    </row>
    <row r="344" spans="4:11" ht="12">
      <c r="D344" s="48"/>
      <c r="E344" s="48"/>
      <c r="F344" s="48"/>
      <c r="G344" s="48"/>
      <c r="I344" s="48"/>
      <c r="J344" s="48"/>
      <c r="K344" s="48"/>
    </row>
    <row r="345" spans="3:13" ht="12">
      <c r="C345" s="4" t="s">
        <v>191</v>
      </c>
      <c r="D345" s="6">
        <f>D336+D343</f>
        <v>25977.63</v>
      </c>
      <c r="E345" s="48"/>
      <c r="F345" s="48"/>
      <c r="G345" s="6">
        <f>G336+G343</f>
        <v>1659.36</v>
      </c>
      <c r="H345" s="178">
        <f>IF(G345=0,0,+D345/+G345)</f>
        <v>15.655210442580273</v>
      </c>
      <c r="I345" s="6">
        <f>I336+I343</f>
        <v>25960.28</v>
      </c>
      <c r="J345" s="6">
        <f>J336+J343</f>
        <v>1699.15</v>
      </c>
      <c r="K345" s="6"/>
      <c r="L345" s="178">
        <f>IF(J345=0,0,+I345/+J345)</f>
        <v>15.278392137245092</v>
      </c>
      <c r="M345" s="41"/>
    </row>
    <row r="346" spans="4:7" ht="12">
      <c r="D346" s="48"/>
      <c r="E346" s="48"/>
      <c r="F346" s="48"/>
      <c r="G346" s="48"/>
    </row>
    <row r="349" ht="5.25" customHeight="1"/>
    <row r="350" ht="12" hidden="1"/>
    <row r="367" ht="12">
      <c r="C367" s="4" t="s">
        <v>192</v>
      </c>
    </row>
    <row r="368" ht="12">
      <c r="C368" s="4" t="s">
        <v>399</v>
      </c>
    </row>
    <row r="369" spans="1:13" ht="12">
      <c r="A369" s="68" t="s">
        <v>372</v>
      </c>
      <c r="B369" s="68"/>
      <c r="E369" s="38"/>
      <c r="F369" s="38"/>
      <c r="G369" s="71"/>
      <c r="H369" s="86"/>
      <c r="I369" s="71"/>
      <c r="J369" s="86"/>
      <c r="K369" s="86"/>
      <c r="L369" s="71"/>
      <c r="M369" s="189" t="s">
        <v>60</v>
      </c>
    </row>
    <row r="370" spans="1:13" ht="12">
      <c r="A370" s="428" t="s">
        <v>400</v>
      </c>
      <c r="B370" s="428"/>
      <c r="C370" s="428"/>
      <c r="D370" s="428"/>
      <c r="E370" s="428"/>
      <c r="F370" s="428"/>
      <c r="G370" s="428"/>
      <c r="H370" s="428"/>
      <c r="I370" s="428"/>
      <c r="J370" s="428"/>
      <c r="K370" s="428"/>
      <c r="L370" s="428"/>
      <c r="M370" s="428"/>
    </row>
    <row r="371" spans="1:13" ht="12">
      <c r="A371" s="68" t="s">
        <v>345</v>
      </c>
      <c r="B371" s="68"/>
      <c r="G371" s="71"/>
      <c r="H371" s="86"/>
      <c r="I371" s="106"/>
      <c r="J371" s="219"/>
      <c r="K371" s="219"/>
      <c r="L371" s="71"/>
      <c r="M371" s="190" t="s">
        <v>346</v>
      </c>
    </row>
    <row r="372" spans="1:13" ht="12">
      <c r="A372" s="15" t="s">
        <v>1</v>
      </c>
      <c r="B372" s="15"/>
      <c r="C372" s="15" t="s">
        <v>1</v>
      </c>
      <c r="D372" s="15" t="s">
        <v>1</v>
      </c>
      <c r="E372" s="15" t="s">
        <v>1</v>
      </c>
      <c r="F372" s="15"/>
      <c r="G372" s="15" t="s">
        <v>1</v>
      </c>
      <c r="H372" s="15" t="s">
        <v>1</v>
      </c>
      <c r="I372" s="15" t="s">
        <v>1</v>
      </c>
      <c r="J372" s="15" t="s">
        <v>1</v>
      </c>
      <c r="K372" s="15"/>
      <c r="L372" s="15" t="s">
        <v>1</v>
      </c>
      <c r="M372" s="15" t="s">
        <v>1</v>
      </c>
    </row>
    <row r="373" spans="1:13" ht="12">
      <c r="A373" s="73" t="s">
        <v>2</v>
      </c>
      <c r="B373" s="73"/>
      <c r="E373" s="73" t="s">
        <v>2</v>
      </c>
      <c r="F373" s="73"/>
      <c r="G373" s="123"/>
      <c r="H373" s="123" t="s">
        <v>172</v>
      </c>
      <c r="I373" s="123"/>
      <c r="J373" s="123" t="s">
        <v>280</v>
      </c>
      <c r="K373" s="123"/>
      <c r="L373" s="123"/>
      <c r="M373" s="123" t="s">
        <v>289</v>
      </c>
    </row>
    <row r="374" spans="1:13" ht="12">
      <c r="A374" s="73" t="s">
        <v>4</v>
      </c>
      <c r="B374" s="73"/>
      <c r="C374" s="74" t="s">
        <v>20</v>
      </c>
      <c r="E374" s="73" t="s">
        <v>4</v>
      </c>
      <c r="F374" s="73"/>
      <c r="G374" s="178" t="s">
        <v>21</v>
      </c>
      <c r="H374" s="123" t="s">
        <v>7</v>
      </c>
      <c r="I374" s="178" t="s">
        <v>21</v>
      </c>
      <c r="J374" s="123" t="s">
        <v>7</v>
      </c>
      <c r="K374" s="123"/>
      <c r="L374" s="178" t="s">
        <v>21</v>
      </c>
      <c r="M374" s="123" t="s">
        <v>8</v>
      </c>
    </row>
    <row r="375" spans="1:13" ht="12">
      <c r="A375" s="15" t="s">
        <v>1</v>
      </c>
      <c r="B375" s="15"/>
      <c r="C375" s="15" t="s">
        <v>1</v>
      </c>
      <c r="D375" s="15" t="s">
        <v>1</v>
      </c>
      <c r="E375" s="15" t="s">
        <v>1</v>
      </c>
      <c r="F375" s="15"/>
      <c r="G375" s="15" t="s">
        <v>1</v>
      </c>
      <c r="H375" s="15" t="s">
        <v>1</v>
      </c>
      <c r="I375" s="15" t="s">
        <v>1</v>
      </c>
      <c r="J375" s="15" t="s">
        <v>1</v>
      </c>
      <c r="K375" s="15"/>
      <c r="L375" s="15" t="s">
        <v>1</v>
      </c>
      <c r="M375" s="176" t="s">
        <v>1</v>
      </c>
    </row>
    <row r="376" spans="1:13" ht="12">
      <c r="A376" s="41">
        <v>1</v>
      </c>
      <c r="B376" s="41"/>
      <c r="C376" s="4" t="s">
        <v>61</v>
      </c>
      <c r="E376" s="41">
        <v>1</v>
      </c>
      <c r="F376" s="41"/>
      <c r="G376" s="89"/>
      <c r="H376" s="86"/>
      <c r="I376" s="89"/>
      <c r="J376" s="86"/>
      <c r="K376" s="86"/>
      <c r="L376" s="89"/>
      <c r="M376" s="86"/>
    </row>
    <row r="377" spans="1:13" ht="12">
      <c r="A377" s="41">
        <f aca="true" t="shared" si="13" ref="A377:A398">(A376+1)</f>
        <v>2</v>
      </c>
      <c r="B377" s="41"/>
      <c r="C377" s="4" t="s">
        <v>62</v>
      </c>
      <c r="D377" s="4" t="s">
        <v>63</v>
      </c>
      <c r="E377" s="41">
        <f aca="true" t="shared" si="14" ref="E377:E398">(E376+1)</f>
        <v>2</v>
      </c>
      <c r="F377" s="41"/>
      <c r="G377" s="180">
        <f>103.97</f>
        <v>103.97</v>
      </c>
      <c r="H377" s="179">
        <f>837125.63</f>
        <v>837125.63</v>
      </c>
      <c r="I377" s="180">
        <f>78.67</f>
        <v>78.67</v>
      </c>
      <c r="J377" s="179">
        <f>1002612.7</f>
        <v>1002612.7</v>
      </c>
      <c r="K377" s="179"/>
      <c r="L377" s="180">
        <f>83.63</f>
        <v>83.63</v>
      </c>
      <c r="M377" s="179">
        <f>997389</f>
        <v>997389</v>
      </c>
    </row>
    <row r="378" spans="1:13" ht="12">
      <c r="A378" s="41">
        <f t="shared" si="13"/>
        <v>3</v>
      </c>
      <c r="B378" s="41"/>
      <c r="D378" s="4" t="s">
        <v>64</v>
      </c>
      <c r="E378" s="41">
        <f t="shared" si="14"/>
        <v>3</v>
      </c>
      <c r="F378" s="41"/>
      <c r="G378" s="180">
        <f>943.17</f>
        <v>943.17</v>
      </c>
      <c r="H378" s="179">
        <f>7306114.92</f>
        <v>7306114.92</v>
      </c>
      <c r="I378" s="180">
        <f>938.93</f>
        <v>938.93</v>
      </c>
      <c r="J378" s="179">
        <f>9302275.36</f>
        <v>9302275.36</v>
      </c>
      <c r="K378" s="179"/>
      <c r="L378" s="180">
        <f>914.03</f>
        <v>914.03</v>
      </c>
      <c r="M378" s="179">
        <f>8854432-342528</f>
        <v>8511904</v>
      </c>
    </row>
    <row r="379" spans="1:13" ht="12">
      <c r="A379" s="41">
        <f t="shared" si="13"/>
        <v>4</v>
      </c>
      <c r="B379" s="41"/>
      <c r="C379" s="4" t="s">
        <v>65</v>
      </c>
      <c r="D379" s="4" t="s">
        <v>63</v>
      </c>
      <c r="E379" s="41">
        <f t="shared" si="14"/>
        <v>4</v>
      </c>
      <c r="F379" s="41"/>
      <c r="G379" s="180">
        <f>18.73</f>
        <v>18.73</v>
      </c>
      <c r="H379" s="179">
        <f>337590.88</f>
        <v>337590.88</v>
      </c>
      <c r="I379" s="180">
        <f>16.8</f>
        <v>16.8</v>
      </c>
      <c r="J379" s="179">
        <f>378994.28</f>
        <v>378994.28</v>
      </c>
      <c r="K379" s="179"/>
      <c r="L379" s="180">
        <f>19</f>
        <v>19</v>
      </c>
      <c r="M379" s="179">
        <f>305145</f>
        <v>305145</v>
      </c>
    </row>
    <row r="380" spans="1:13" ht="12">
      <c r="A380" s="41">
        <f t="shared" si="13"/>
        <v>5</v>
      </c>
      <c r="B380" s="41"/>
      <c r="D380" s="4" t="s">
        <v>64</v>
      </c>
      <c r="E380" s="41">
        <f t="shared" si="14"/>
        <v>5</v>
      </c>
      <c r="F380" s="41"/>
      <c r="G380" s="180">
        <f>395.86</f>
        <v>395.86</v>
      </c>
      <c r="H380" s="179">
        <f>8339930.27</f>
        <v>8339930.27</v>
      </c>
      <c r="I380" s="180">
        <f>375.2</f>
        <v>375.2</v>
      </c>
      <c r="J380" s="179">
        <f>8958610.32</f>
        <v>8958610.32</v>
      </c>
      <c r="K380" s="179"/>
      <c r="L380" s="180">
        <f>376</f>
        <v>376</v>
      </c>
      <c r="M380" s="179">
        <f>8583595</f>
        <v>8583595</v>
      </c>
    </row>
    <row r="381" spans="1:13" ht="12">
      <c r="A381" s="41">
        <f t="shared" si="13"/>
        <v>6</v>
      </c>
      <c r="B381" s="41"/>
      <c r="C381" s="4" t="s">
        <v>66</v>
      </c>
      <c r="E381" s="41">
        <f t="shared" si="14"/>
        <v>6</v>
      </c>
      <c r="F381" s="41"/>
      <c r="G381" s="89">
        <f aca="true" t="shared" si="15" ref="G381:M381">SUM(G377:G380)</f>
        <v>1461.73</v>
      </c>
      <c r="H381" s="86">
        <f t="shared" si="15"/>
        <v>16820761.7</v>
      </c>
      <c r="I381" s="89">
        <f t="shared" si="15"/>
        <v>1409.6</v>
      </c>
      <c r="J381" s="86">
        <f t="shared" si="15"/>
        <v>19642492.659999996</v>
      </c>
      <c r="K381" s="86"/>
      <c r="L381" s="89">
        <f t="shared" si="15"/>
        <v>1392.6599999999999</v>
      </c>
      <c r="M381" s="86">
        <f t="shared" si="15"/>
        <v>18398033</v>
      </c>
    </row>
    <row r="382" spans="1:13" ht="12">
      <c r="A382" s="41">
        <f t="shared" si="13"/>
        <v>7</v>
      </c>
      <c r="B382" s="41"/>
      <c r="C382" s="4" t="s">
        <v>67</v>
      </c>
      <c r="E382" s="41">
        <f t="shared" si="14"/>
        <v>7</v>
      </c>
      <c r="F382" s="41"/>
      <c r="G382" s="89"/>
      <c r="H382" s="86"/>
      <c r="I382" s="89"/>
      <c r="J382" s="86"/>
      <c r="K382" s="86"/>
      <c r="L382" s="89"/>
      <c r="M382" s="86"/>
    </row>
    <row r="383" spans="1:13" ht="12">
      <c r="A383" s="41">
        <f t="shared" si="13"/>
        <v>8</v>
      </c>
      <c r="B383" s="41"/>
      <c r="C383" s="4" t="s">
        <v>62</v>
      </c>
      <c r="D383" s="4" t="s">
        <v>63</v>
      </c>
      <c r="E383" s="41">
        <f t="shared" si="14"/>
        <v>8</v>
      </c>
      <c r="F383" s="41"/>
      <c r="G383" s="180">
        <f>869.63</f>
        <v>869.63</v>
      </c>
      <c r="H383" s="179">
        <f>9084601.62</f>
        <v>9084601.62</v>
      </c>
      <c r="I383" s="180">
        <f>873.4</f>
        <v>873.4</v>
      </c>
      <c r="J383" s="179">
        <f>10502685.44</f>
        <v>10502685.44</v>
      </c>
      <c r="K383" s="179"/>
      <c r="L383" s="180">
        <f>862.53</f>
        <v>862.53</v>
      </c>
      <c r="M383" s="228">
        <f>11234462</f>
        <v>11234462</v>
      </c>
    </row>
    <row r="384" spans="1:13" ht="12">
      <c r="A384" s="41">
        <f t="shared" si="13"/>
        <v>9</v>
      </c>
      <c r="B384" s="41"/>
      <c r="D384" s="4" t="s">
        <v>64</v>
      </c>
      <c r="E384" s="41">
        <f t="shared" si="14"/>
        <v>9</v>
      </c>
      <c r="F384" s="41"/>
      <c r="G384" s="180">
        <f>7922</f>
        <v>7922</v>
      </c>
      <c r="H384" s="179">
        <f>60453147.51</f>
        <v>60453147.51</v>
      </c>
      <c r="I384" s="180">
        <f>7845.8</f>
        <v>7845.8</v>
      </c>
      <c r="J384" s="179">
        <f>62405250.71</f>
        <v>62405250.71</v>
      </c>
      <c r="K384" s="179"/>
      <c r="L384" s="180">
        <f>7869.7</f>
        <v>7869.7</v>
      </c>
      <c r="M384" s="228">
        <f>70878708-689869</f>
        <v>70188839</v>
      </c>
    </row>
    <row r="385" spans="1:13" ht="12">
      <c r="A385" s="41">
        <f t="shared" si="13"/>
        <v>10</v>
      </c>
      <c r="B385" s="41"/>
      <c r="C385" s="4" t="s">
        <v>65</v>
      </c>
      <c r="D385" s="4" t="s">
        <v>63</v>
      </c>
      <c r="E385" s="41">
        <f t="shared" si="14"/>
        <v>10</v>
      </c>
      <c r="F385" s="41"/>
      <c r="G385" s="180">
        <f>310.73</f>
        <v>310.73</v>
      </c>
      <c r="H385" s="179">
        <f>9555108.41</f>
        <v>9555108.41</v>
      </c>
      <c r="I385" s="180">
        <f>333.93</f>
        <v>333.93</v>
      </c>
      <c r="J385" s="179">
        <f>10712192.08</f>
        <v>10712192.08</v>
      </c>
      <c r="K385" s="179"/>
      <c r="L385" s="180">
        <f>345.53</f>
        <v>345.53</v>
      </c>
      <c r="M385" s="179">
        <f>9625447</f>
        <v>9625447</v>
      </c>
    </row>
    <row r="386" spans="1:13" ht="12">
      <c r="A386" s="41">
        <f t="shared" si="13"/>
        <v>11</v>
      </c>
      <c r="B386" s="41"/>
      <c r="D386" s="4" t="s">
        <v>64</v>
      </c>
      <c r="E386" s="41">
        <f t="shared" si="14"/>
        <v>11</v>
      </c>
      <c r="F386" s="41"/>
      <c r="G386" s="180">
        <f>3664.73</f>
        <v>3664.73</v>
      </c>
      <c r="H386" s="179">
        <f>84096686.3</f>
        <v>84096686.3</v>
      </c>
      <c r="I386" s="180">
        <f>3713.47</f>
        <v>3713.47</v>
      </c>
      <c r="J386" s="179">
        <f>87108424.19</f>
        <v>87108424.19</v>
      </c>
      <c r="K386" s="179"/>
      <c r="L386" s="180">
        <f>3731.23</f>
        <v>3731.23</v>
      </c>
      <c r="M386" s="179">
        <f>89400756</f>
        <v>89400756</v>
      </c>
    </row>
    <row r="387" spans="1:13" ht="12">
      <c r="A387" s="41">
        <f t="shared" si="13"/>
        <v>12</v>
      </c>
      <c r="B387" s="41"/>
      <c r="C387" s="4" t="s">
        <v>68</v>
      </c>
      <c r="E387" s="41">
        <f t="shared" si="14"/>
        <v>12</v>
      </c>
      <c r="F387" s="41"/>
      <c r="G387" s="89">
        <f aca="true" t="shared" si="16" ref="G387:M387">SUM(G383:G386)</f>
        <v>12767.089999999998</v>
      </c>
      <c r="H387" s="86">
        <f t="shared" si="16"/>
        <v>163189543.83999997</v>
      </c>
      <c r="I387" s="89">
        <f t="shared" si="16"/>
        <v>12766.6</v>
      </c>
      <c r="J387" s="86">
        <f t="shared" si="16"/>
        <v>170728552.42000002</v>
      </c>
      <c r="K387" s="86"/>
      <c r="L387" s="89">
        <f t="shared" si="16"/>
        <v>12808.99</v>
      </c>
      <c r="M387" s="86">
        <f t="shared" si="16"/>
        <v>180449504</v>
      </c>
    </row>
    <row r="388" spans="1:13" ht="12">
      <c r="A388" s="41">
        <f t="shared" si="13"/>
        <v>13</v>
      </c>
      <c r="B388" s="41"/>
      <c r="C388" s="4" t="s">
        <v>69</v>
      </c>
      <c r="E388" s="41">
        <f t="shared" si="14"/>
        <v>13</v>
      </c>
      <c r="F388" s="41"/>
      <c r="G388" s="89"/>
      <c r="H388" s="86"/>
      <c r="I388" s="89"/>
      <c r="J388" s="86"/>
      <c r="K388" s="86"/>
      <c r="L388" s="89"/>
      <c r="M388" s="86"/>
    </row>
    <row r="389" spans="1:13" ht="12">
      <c r="A389" s="41">
        <f t="shared" si="13"/>
        <v>14</v>
      </c>
      <c r="B389" s="41"/>
      <c r="C389" s="4" t="s">
        <v>62</v>
      </c>
      <c r="D389" s="4" t="s">
        <v>63</v>
      </c>
      <c r="E389" s="41">
        <f t="shared" si="14"/>
        <v>14</v>
      </c>
      <c r="F389" s="41"/>
      <c r="G389" s="180"/>
      <c r="H389" s="179"/>
      <c r="I389" s="180"/>
      <c r="J389" s="179"/>
      <c r="K389" s="179"/>
      <c r="L389" s="180"/>
      <c r="M389" s="179"/>
    </row>
    <row r="390" spans="1:13" ht="12">
      <c r="A390" s="41">
        <f t="shared" si="13"/>
        <v>15</v>
      </c>
      <c r="B390" s="41"/>
      <c r="D390" s="4" t="s">
        <v>64</v>
      </c>
      <c r="E390" s="41">
        <f t="shared" si="14"/>
        <v>15</v>
      </c>
      <c r="F390" s="41"/>
      <c r="G390" s="180"/>
      <c r="H390" s="179"/>
      <c r="I390" s="180"/>
      <c r="J390" s="179"/>
      <c r="K390" s="179"/>
      <c r="L390" s="180"/>
      <c r="M390" s="179"/>
    </row>
    <row r="391" spans="1:13" ht="12">
      <c r="A391" s="41">
        <f t="shared" si="13"/>
        <v>16</v>
      </c>
      <c r="B391" s="41"/>
      <c r="C391" s="4" t="s">
        <v>65</v>
      </c>
      <c r="D391" s="4" t="s">
        <v>63</v>
      </c>
      <c r="E391" s="41">
        <f t="shared" si="14"/>
        <v>16</v>
      </c>
      <c r="F391" s="41"/>
      <c r="G391" s="180"/>
      <c r="H391" s="179"/>
      <c r="I391" s="180"/>
      <c r="J391" s="179"/>
      <c r="K391" s="179"/>
      <c r="L391" s="180"/>
      <c r="M391" s="179"/>
    </row>
    <row r="392" spans="1:13" ht="12">
      <c r="A392" s="41">
        <f t="shared" si="13"/>
        <v>17</v>
      </c>
      <c r="B392" s="41"/>
      <c r="D392" s="4" t="s">
        <v>64</v>
      </c>
      <c r="E392" s="41">
        <f t="shared" si="14"/>
        <v>17</v>
      </c>
      <c r="F392" s="41"/>
      <c r="G392" s="180"/>
      <c r="H392" s="179"/>
      <c r="I392" s="180"/>
      <c r="J392" s="179"/>
      <c r="K392" s="179"/>
      <c r="L392" s="180"/>
      <c r="M392" s="179"/>
    </row>
    <row r="393" spans="1:13" ht="12">
      <c r="A393" s="41">
        <f t="shared" si="13"/>
        <v>18</v>
      </c>
      <c r="B393" s="41"/>
      <c r="C393" s="4" t="s">
        <v>70</v>
      </c>
      <c r="E393" s="41">
        <f t="shared" si="14"/>
        <v>18</v>
      </c>
      <c r="F393" s="41"/>
      <c r="G393" s="89">
        <f aca="true" t="shared" si="17" ref="G393:M393">SUM(G389:G392)</f>
        <v>0</v>
      </c>
      <c r="H393" s="86">
        <f t="shared" si="17"/>
        <v>0</v>
      </c>
      <c r="I393" s="89">
        <f t="shared" si="17"/>
        <v>0</v>
      </c>
      <c r="J393" s="86">
        <f t="shared" si="17"/>
        <v>0</v>
      </c>
      <c r="K393" s="86"/>
      <c r="L393" s="89">
        <f t="shared" si="17"/>
        <v>0</v>
      </c>
      <c r="M393" s="86">
        <f t="shared" si="17"/>
        <v>0</v>
      </c>
    </row>
    <row r="394" spans="1:12" ht="12">
      <c r="A394" s="41">
        <f>(A393+1)</f>
        <v>19</v>
      </c>
      <c r="B394" s="41"/>
      <c r="C394" s="4" t="s">
        <v>71</v>
      </c>
      <c r="E394" s="41">
        <f>(E393+1)</f>
        <v>19</v>
      </c>
      <c r="F394" s="41"/>
      <c r="G394" s="361"/>
      <c r="I394" s="361"/>
      <c r="L394" s="361"/>
    </row>
    <row r="395" spans="1:13" ht="12">
      <c r="A395" s="41">
        <f t="shared" si="13"/>
        <v>20</v>
      </c>
      <c r="B395" s="41"/>
      <c r="C395" s="4" t="s">
        <v>62</v>
      </c>
      <c r="D395" s="4" t="s">
        <v>63</v>
      </c>
      <c r="E395" s="41">
        <f t="shared" si="14"/>
        <v>20</v>
      </c>
      <c r="F395" s="41"/>
      <c r="G395" s="180">
        <f>831.57</f>
        <v>831.57</v>
      </c>
      <c r="H395" s="179">
        <f>8830711.03</f>
        <v>8830711.03</v>
      </c>
      <c r="I395" s="180">
        <f>808.37</f>
        <v>808.37</v>
      </c>
      <c r="J395" s="179">
        <f>9887001.81</f>
        <v>9887001.81</v>
      </c>
      <c r="K395" s="179"/>
      <c r="L395" s="180">
        <f>812.83</f>
        <v>812.83</v>
      </c>
      <c r="M395" s="179">
        <f>10609033</f>
        <v>10609033</v>
      </c>
    </row>
    <row r="396" spans="1:13" ht="12">
      <c r="A396" s="41">
        <f t="shared" si="13"/>
        <v>21</v>
      </c>
      <c r="B396" s="41"/>
      <c r="D396" s="4" t="s">
        <v>64</v>
      </c>
      <c r="E396" s="41">
        <f t="shared" si="14"/>
        <v>21</v>
      </c>
      <c r="F396" s="41"/>
      <c r="G396" s="180">
        <f>7349.63</f>
        <v>7349.63</v>
      </c>
      <c r="H396" s="179">
        <f>56278152.83</f>
        <v>56278152.83</v>
      </c>
      <c r="I396" s="180">
        <f>7260.17</f>
        <v>7260.17</v>
      </c>
      <c r="J396" s="179">
        <f>57855827.91</f>
        <v>57855827.91</v>
      </c>
      <c r="K396" s="179"/>
      <c r="L396" s="180">
        <f>7282.27</f>
        <v>7282.27</v>
      </c>
      <c r="M396" s="179">
        <f>66043912-665495</f>
        <v>65378417</v>
      </c>
    </row>
    <row r="397" spans="1:13" ht="12">
      <c r="A397" s="41">
        <f t="shared" si="13"/>
        <v>22</v>
      </c>
      <c r="B397" s="41"/>
      <c r="C397" s="4" t="s">
        <v>65</v>
      </c>
      <c r="D397" s="4" t="s">
        <v>63</v>
      </c>
      <c r="E397" s="41">
        <f t="shared" si="14"/>
        <v>22</v>
      </c>
      <c r="F397" s="41"/>
      <c r="G397" s="180">
        <f>287.47</f>
        <v>287.47</v>
      </c>
      <c r="H397" s="179">
        <f>8893841.48</f>
        <v>8893841.48</v>
      </c>
      <c r="I397" s="180">
        <f>316.83</f>
        <v>316.83</v>
      </c>
      <c r="J397" s="179">
        <f>10171202.25</f>
        <v>10171202.25</v>
      </c>
      <c r="K397" s="179"/>
      <c r="L397" s="180">
        <f>316.47</f>
        <v>316.47</v>
      </c>
      <c r="M397" s="179">
        <f>8952869</f>
        <v>8952869</v>
      </c>
    </row>
    <row r="398" spans="1:13" ht="12">
      <c r="A398" s="41">
        <f t="shared" si="13"/>
        <v>23</v>
      </c>
      <c r="B398" s="41"/>
      <c r="D398" s="4" t="s">
        <v>64</v>
      </c>
      <c r="E398" s="41">
        <f t="shared" si="14"/>
        <v>23</v>
      </c>
      <c r="F398" s="41"/>
      <c r="G398" s="180">
        <f>3280.1</f>
        <v>3280.1</v>
      </c>
      <c r="H398" s="179">
        <f>75754155.29</f>
        <v>75754155.29</v>
      </c>
      <c r="I398" s="180">
        <f>3398.73</f>
        <v>3398.73</v>
      </c>
      <c r="J398" s="179">
        <f>79577717.65</f>
        <v>79577717.65</v>
      </c>
      <c r="K398" s="179"/>
      <c r="L398" s="180">
        <f>3423.77</f>
        <v>3423.77</v>
      </c>
      <c r="M398" s="179">
        <f>80919761</f>
        <v>80919761</v>
      </c>
    </row>
    <row r="399" spans="1:13" ht="12">
      <c r="A399" s="41">
        <v>24</v>
      </c>
      <c r="B399" s="41"/>
      <c r="C399" s="4" t="s">
        <v>72</v>
      </c>
      <c r="E399" s="41">
        <v>24</v>
      </c>
      <c r="F399" s="41"/>
      <c r="G399" s="89">
        <f aca="true" t="shared" si="18" ref="G399:M399">SUM(G395:G398)</f>
        <v>11748.77</v>
      </c>
      <c r="H399" s="86">
        <f t="shared" si="18"/>
        <v>149756860.63</v>
      </c>
      <c r="I399" s="89">
        <f t="shared" si="18"/>
        <v>11784.1</v>
      </c>
      <c r="J399" s="86">
        <f t="shared" si="18"/>
        <v>157491749.62</v>
      </c>
      <c r="K399" s="86"/>
      <c r="L399" s="89">
        <f t="shared" si="18"/>
        <v>11835.34</v>
      </c>
      <c r="M399" s="86">
        <f t="shared" si="18"/>
        <v>165860080</v>
      </c>
    </row>
    <row r="400" spans="1:12" ht="12">
      <c r="A400" s="41">
        <v>25</v>
      </c>
      <c r="B400" s="41"/>
      <c r="C400" s="4" t="s">
        <v>73</v>
      </c>
      <c r="E400" s="41">
        <v>25</v>
      </c>
      <c r="F400" s="41"/>
      <c r="G400" s="361"/>
      <c r="I400" s="361"/>
      <c r="L400" s="361"/>
    </row>
    <row r="401" spans="1:13" ht="12">
      <c r="A401" s="41">
        <v>26</v>
      </c>
      <c r="B401" s="41"/>
      <c r="C401" s="4" t="s">
        <v>62</v>
      </c>
      <c r="D401" s="4" t="s">
        <v>63</v>
      </c>
      <c r="E401" s="41">
        <v>26</v>
      </c>
      <c r="F401" s="41"/>
      <c r="G401" s="89">
        <f aca="true" t="shared" si="19" ref="G401:J404">SUM(G377,G383,G389,G395)</f>
        <v>1805.17</v>
      </c>
      <c r="H401" s="86">
        <f t="shared" si="19"/>
        <v>18752438.28</v>
      </c>
      <c r="I401" s="89">
        <f t="shared" si="19"/>
        <v>1760.44</v>
      </c>
      <c r="J401" s="86">
        <f t="shared" si="19"/>
        <v>21392299.95</v>
      </c>
      <c r="K401" s="86"/>
      <c r="L401" s="89">
        <f aca="true" t="shared" si="20" ref="L401:M404">SUM(L377,L383,L389,L395)</f>
        <v>1758.99</v>
      </c>
      <c r="M401" s="86">
        <f t="shared" si="20"/>
        <v>22840884</v>
      </c>
    </row>
    <row r="402" spans="1:13" ht="12">
      <c r="A402" s="41">
        <v>27</v>
      </c>
      <c r="B402" s="41"/>
      <c r="D402" s="4" t="s">
        <v>64</v>
      </c>
      <c r="E402" s="41">
        <v>27</v>
      </c>
      <c r="F402" s="41"/>
      <c r="G402" s="89">
        <f t="shared" si="19"/>
        <v>16214.8</v>
      </c>
      <c r="H402" s="86">
        <f t="shared" si="19"/>
        <v>124037415.25999999</v>
      </c>
      <c r="I402" s="89">
        <f t="shared" si="19"/>
        <v>16044.9</v>
      </c>
      <c r="J402" s="86">
        <f t="shared" si="19"/>
        <v>129563353.97999999</v>
      </c>
      <c r="K402" s="86"/>
      <c r="L402" s="89">
        <f t="shared" si="20"/>
        <v>16066</v>
      </c>
      <c r="M402" s="86">
        <f t="shared" si="20"/>
        <v>144079160</v>
      </c>
    </row>
    <row r="403" spans="1:13" ht="12">
      <c r="A403" s="41">
        <v>28</v>
      </c>
      <c r="B403" s="41"/>
      <c r="C403" s="4" t="s">
        <v>65</v>
      </c>
      <c r="D403" s="4" t="s">
        <v>63</v>
      </c>
      <c r="E403" s="41">
        <v>28</v>
      </c>
      <c r="F403" s="41"/>
      <c r="G403" s="89">
        <f t="shared" si="19"/>
        <v>616.9300000000001</v>
      </c>
      <c r="H403" s="86">
        <f t="shared" si="19"/>
        <v>18786540.770000003</v>
      </c>
      <c r="I403" s="89">
        <f t="shared" si="19"/>
        <v>667.56</v>
      </c>
      <c r="J403" s="86">
        <f t="shared" si="19"/>
        <v>21262388.61</v>
      </c>
      <c r="K403" s="86"/>
      <c r="L403" s="89">
        <f t="shared" si="20"/>
        <v>681</v>
      </c>
      <c r="M403" s="86">
        <f t="shared" si="20"/>
        <v>18883461</v>
      </c>
    </row>
    <row r="404" spans="1:13" ht="12">
      <c r="A404" s="41">
        <v>29</v>
      </c>
      <c r="B404" s="41"/>
      <c r="D404" s="4" t="s">
        <v>64</v>
      </c>
      <c r="E404" s="41">
        <v>29</v>
      </c>
      <c r="F404" s="41"/>
      <c r="G404" s="89">
        <f t="shared" si="19"/>
        <v>7340.6900000000005</v>
      </c>
      <c r="H404" s="86">
        <f t="shared" si="19"/>
        <v>168190771.86</v>
      </c>
      <c r="I404" s="89">
        <f t="shared" si="19"/>
        <v>7487.4</v>
      </c>
      <c r="J404" s="86">
        <f t="shared" si="19"/>
        <v>175644752.16</v>
      </c>
      <c r="K404" s="86"/>
      <c r="L404" s="89">
        <f t="shared" si="20"/>
        <v>7531</v>
      </c>
      <c r="M404" s="86">
        <f t="shared" si="20"/>
        <v>178904112</v>
      </c>
    </row>
    <row r="405" spans="1:13" ht="12">
      <c r="A405" s="41">
        <v>30</v>
      </c>
      <c r="B405" s="41"/>
      <c r="E405" s="41">
        <v>30</v>
      </c>
      <c r="F405" s="41"/>
      <c r="G405" s="89"/>
      <c r="H405" s="86"/>
      <c r="I405" s="89"/>
      <c r="J405" s="86"/>
      <c r="K405" s="86"/>
      <c r="L405" s="89"/>
      <c r="M405" s="86"/>
    </row>
    <row r="406" spans="1:13" ht="12">
      <c r="A406" s="41">
        <v>31</v>
      </c>
      <c r="B406" s="41"/>
      <c r="C406" s="4" t="s">
        <v>74</v>
      </c>
      <c r="E406" s="41">
        <v>31</v>
      </c>
      <c r="F406" s="41"/>
      <c r="G406" s="89">
        <f>SUM(G401,G402)</f>
        <v>18019.97</v>
      </c>
      <c r="H406" s="86">
        <f>SUM(H401,H402)</f>
        <v>142789853.54</v>
      </c>
      <c r="I406" s="89">
        <f>SUM(I401,I402)</f>
        <v>17805.34</v>
      </c>
      <c r="J406" s="86">
        <f>SUM(J401,J402)</f>
        <v>150955653.92999998</v>
      </c>
      <c r="K406" s="86"/>
      <c r="L406" s="89">
        <f>L401+L402</f>
        <v>17824.99</v>
      </c>
      <c r="M406" s="86">
        <f>M401+M402</f>
        <v>166920044</v>
      </c>
    </row>
    <row r="407" spans="1:13" ht="12">
      <c r="A407" s="41">
        <v>32</v>
      </c>
      <c r="B407" s="41"/>
      <c r="C407" s="4" t="s">
        <v>75</v>
      </c>
      <c r="E407" s="41">
        <v>32</v>
      </c>
      <c r="F407" s="41"/>
      <c r="G407" s="89">
        <f>SUM(G403,G404)</f>
        <v>7957.620000000001</v>
      </c>
      <c r="H407" s="86">
        <f>SUM(H403,H404)</f>
        <v>186977312.63000003</v>
      </c>
      <c r="I407" s="89">
        <f>SUM(I403,I404)</f>
        <v>8154.959999999999</v>
      </c>
      <c r="J407" s="86">
        <f>SUM(J403,J404)</f>
        <v>196907140.76999998</v>
      </c>
      <c r="K407" s="86"/>
      <c r="L407" s="89">
        <f>L403+L404</f>
        <v>8212</v>
      </c>
      <c r="M407" s="86">
        <f>M403+M404</f>
        <v>197787573</v>
      </c>
    </row>
    <row r="408" spans="1:13" ht="12">
      <c r="A408" s="41">
        <v>33</v>
      </c>
      <c r="B408" s="41"/>
      <c r="C408" s="4" t="s">
        <v>76</v>
      </c>
      <c r="E408" s="41">
        <v>33</v>
      </c>
      <c r="F408" s="41"/>
      <c r="G408" s="89">
        <f aca="true" t="shared" si="21" ref="G408:J409">SUM(G401,G403)</f>
        <v>2422.1000000000004</v>
      </c>
      <c r="H408" s="86">
        <f t="shared" si="21"/>
        <v>37538979.050000004</v>
      </c>
      <c r="I408" s="89">
        <f t="shared" si="21"/>
        <v>2428</v>
      </c>
      <c r="J408" s="86">
        <f t="shared" si="21"/>
        <v>42654688.56</v>
      </c>
      <c r="K408" s="86"/>
      <c r="L408" s="89">
        <f>L401+L403</f>
        <v>2439.99</v>
      </c>
      <c r="M408" s="86">
        <f>M401+M403</f>
        <v>41724345</v>
      </c>
    </row>
    <row r="409" spans="1:13" ht="12">
      <c r="A409" s="41">
        <v>34</v>
      </c>
      <c r="B409" s="41"/>
      <c r="C409" s="4" t="s">
        <v>244</v>
      </c>
      <c r="E409" s="41">
        <v>34</v>
      </c>
      <c r="F409" s="41"/>
      <c r="G409" s="89">
        <f t="shared" si="21"/>
        <v>23555.489999999998</v>
      </c>
      <c r="H409" s="86">
        <f t="shared" si="21"/>
        <v>292228187.12</v>
      </c>
      <c r="I409" s="89">
        <f t="shared" si="21"/>
        <v>23532.3</v>
      </c>
      <c r="J409" s="86">
        <f t="shared" si="21"/>
        <v>305208106.14</v>
      </c>
      <c r="K409" s="86"/>
      <c r="L409" s="89">
        <f>L402+L404</f>
        <v>23597</v>
      </c>
      <c r="M409" s="86">
        <f>M402+M404</f>
        <v>322983272</v>
      </c>
    </row>
    <row r="410" spans="7:13" ht="12">
      <c r="G410" s="24" t="s">
        <v>1</v>
      </c>
      <c r="H410" s="176" t="s">
        <v>1</v>
      </c>
      <c r="I410" s="24" t="s">
        <v>1</v>
      </c>
      <c r="J410" s="176" t="s">
        <v>1</v>
      </c>
      <c r="K410" s="176"/>
      <c r="L410" s="24" t="s">
        <v>1</v>
      </c>
      <c r="M410" s="176" t="s">
        <v>1</v>
      </c>
    </row>
    <row r="411" spans="1:13" ht="12">
      <c r="A411" s="41">
        <v>35</v>
      </c>
      <c r="B411" s="41"/>
      <c r="C411" s="5" t="s">
        <v>606</v>
      </c>
      <c r="E411" s="41">
        <v>35</v>
      </c>
      <c r="F411" s="41"/>
      <c r="G411" s="89">
        <f>SUM(G408:G409)</f>
        <v>25977.589999999997</v>
      </c>
      <c r="H411" s="86">
        <f>SUM(H408:H409)</f>
        <v>329767166.17</v>
      </c>
      <c r="I411" s="89">
        <f>SUM(I408:I409)</f>
        <v>25960.3</v>
      </c>
      <c r="J411" s="86">
        <f>SUM(J408:J409)</f>
        <v>347862794.7</v>
      </c>
      <c r="K411" s="86"/>
      <c r="L411" s="89">
        <f>SUM(L401:L404)</f>
        <v>26036.99</v>
      </c>
      <c r="M411" s="86">
        <f>SUM(M401:M404)</f>
        <v>364707617</v>
      </c>
    </row>
    <row r="412" spans="3:13" ht="12">
      <c r="C412" s="4" t="s">
        <v>401</v>
      </c>
      <c r="G412" s="24" t="s">
        <v>1</v>
      </c>
      <c r="H412" s="24" t="s">
        <v>1</v>
      </c>
      <c r="I412" s="24" t="s">
        <v>1</v>
      </c>
      <c r="J412" s="24" t="s">
        <v>1</v>
      </c>
      <c r="K412" s="24"/>
      <c r="L412" s="24" t="s">
        <v>1</v>
      </c>
      <c r="M412" s="24" t="s">
        <v>1</v>
      </c>
    </row>
    <row r="413" spans="3:13" ht="12">
      <c r="C413" s="4"/>
      <c r="G413" s="24"/>
      <c r="H413" s="24"/>
      <c r="I413" s="24"/>
      <c r="J413" s="24"/>
      <c r="K413" s="24"/>
      <c r="L413" s="24"/>
      <c r="M413" s="189"/>
    </row>
    <row r="414" spans="1:13" ht="11.25" customHeight="1">
      <c r="A414" s="5">
        <v>36</v>
      </c>
      <c r="C414" s="5" t="s">
        <v>607</v>
      </c>
      <c r="E414" s="5">
        <v>36</v>
      </c>
      <c r="G414" s="24"/>
      <c r="H414" s="86">
        <f>40081880.51+1304100.18</f>
        <v>41385980.69</v>
      </c>
      <c r="I414" s="24"/>
      <c r="J414" s="86">
        <f>39999825+1263222</f>
        <v>41263047</v>
      </c>
      <c r="K414" s="86"/>
      <c r="L414" s="24"/>
      <c r="M414" s="86">
        <f>45800689+1323454</f>
        <v>47124143</v>
      </c>
    </row>
    <row r="415" spans="7:13" ht="12" hidden="1">
      <c r="G415" s="24"/>
      <c r="H415" s="86"/>
      <c r="I415" s="24"/>
      <c r="J415" s="86"/>
      <c r="K415" s="86"/>
      <c r="L415" s="24"/>
      <c r="M415" s="86"/>
    </row>
    <row r="416" spans="7:13" ht="12" hidden="1">
      <c r="G416" s="24"/>
      <c r="H416" s="86"/>
      <c r="I416" s="24"/>
      <c r="J416" s="86"/>
      <c r="K416" s="86"/>
      <c r="L416" s="24"/>
      <c r="M416" s="86"/>
    </row>
    <row r="417" spans="7:13" ht="12" hidden="1">
      <c r="G417" s="24"/>
      <c r="H417" s="86"/>
      <c r="I417" s="24"/>
      <c r="J417" s="86"/>
      <c r="K417" s="86"/>
      <c r="L417" s="24"/>
      <c r="M417" s="86"/>
    </row>
    <row r="418" spans="1:2" ht="12">
      <c r="A418" s="4"/>
      <c r="B418" s="4"/>
    </row>
    <row r="419" spans="1:13" ht="12">
      <c r="A419" s="68" t="s">
        <v>372</v>
      </c>
      <c r="B419" s="68"/>
      <c r="E419" s="38"/>
      <c r="F419" s="38"/>
      <c r="G419" s="71"/>
      <c r="H419" s="86"/>
      <c r="I419" s="71"/>
      <c r="J419" s="86"/>
      <c r="K419" s="86"/>
      <c r="L419" s="71"/>
      <c r="M419" s="189" t="s">
        <v>78</v>
      </c>
    </row>
    <row r="420" spans="1:13" ht="12">
      <c r="A420" s="430" t="s">
        <v>79</v>
      </c>
      <c r="B420" s="430"/>
      <c r="C420" s="430"/>
      <c r="D420" s="430"/>
      <c r="E420" s="430"/>
      <c r="F420" s="430"/>
      <c r="G420" s="430"/>
      <c r="H420" s="430"/>
      <c r="I420" s="430"/>
      <c r="J420" s="430"/>
      <c r="K420" s="430"/>
      <c r="L420" s="430"/>
      <c r="M420" s="430"/>
    </row>
    <row r="421" spans="1:13" ht="12">
      <c r="A421" s="68" t="s">
        <v>345</v>
      </c>
      <c r="B421" s="68"/>
      <c r="G421" s="7"/>
      <c r="H421" s="106"/>
      <c r="I421" s="106"/>
      <c r="J421" s="219"/>
      <c r="K421" s="219"/>
      <c r="L421" s="71"/>
      <c r="M421" s="190" t="s">
        <v>346</v>
      </c>
    </row>
    <row r="422" spans="1:13" ht="12">
      <c r="A422" s="15" t="s">
        <v>1</v>
      </c>
      <c r="B422" s="15"/>
      <c r="C422" s="15" t="s">
        <v>1</v>
      </c>
      <c r="D422" s="15" t="s">
        <v>1</v>
      </c>
      <c r="E422" s="15" t="s">
        <v>1</v>
      </c>
      <c r="F422" s="15"/>
      <c r="G422" s="15" t="s">
        <v>1</v>
      </c>
      <c r="H422" s="15" t="s">
        <v>1</v>
      </c>
      <c r="I422" s="15" t="s">
        <v>1</v>
      </c>
      <c r="J422" s="15" t="s">
        <v>1</v>
      </c>
      <c r="K422" s="15"/>
      <c r="L422" s="15" t="s">
        <v>1</v>
      </c>
      <c r="M422" s="15" t="s">
        <v>1</v>
      </c>
    </row>
    <row r="423" spans="1:13" ht="12">
      <c r="A423" s="73" t="s">
        <v>2</v>
      </c>
      <c r="B423" s="73"/>
      <c r="E423" s="73" t="s">
        <v>2</v>
      </c>
      <c r="F423" s="73"/>
      <c r="G423" s="86"/>
      <c r="H423" s="123" t="s">
        <v>172</v>
      </c>
      <c r="I423" s="89"/>
      <c r="J423" s="123" t="s">
        <v>280</v>
      </c>
      <c r="K423" s="123"/>
      <c r="L423" s="89"/>
      <c r="M423" s="123" t="s">
        <v>289</v>
      </c>
    </row>
    <row r="424" spans="1:13" ht="12">
      <c r="A424" s="73" t="s">
        <v>4</v>
      </c>
      <c r="B424" s="73"/>
      <c r="C424" s="74" t="s">
        <v>20</v>
      </c>
      <c r="E424" s="73" t="s">
        <v>4</v>
      </c>
      <c r="F424" s="73"/>
      <c r="G424" s="71"/>
      <c r="H424" s="123" t="s">
        <v>7</v>
      </c>
      <c r="I424" s="71"/>
      <c r="J424" s="123" t="s">
        <v>7</v>
      </c>
      <c r="K424" s="123"/>
      <c r="L424" s="71"/>
      <c r="M424" s="123" t="s">
        <v>8</v>
      </c>
    </row>
    <row r="425" spans="1:13" ht="12">
      <c r="A425" s="15" t="s">
        <v>1</v>
      </c>
      <c r="B425" s="15"/>
      <c r="C425" s="15" t="s">
        <v>1</v>
      </c>
      <c r="D425" s="15" t="s">
        <v>1</v>
      </c>
      <c r="E425" s="15" t="s">
        <v>1</v>
      </c>
      <c r="F425" s="15"/>
      <c r="G425" s="15" t="s">
        <v>1</v>
      </c>
      <c r="H425" s="15" t="s">
        <v>1</v>
      </c>
      <c r="I425" s="15" t="s">
        <v>1</v>
      </c>
      <c r="J425" s="15" t="s">
        <v>1</v>
      </c>
      <c r="K425" s="15"/>
      <c r="L425" s="15" t="s">
        <v>1</v>
      </c>
      <c r="M425" s="176" t="s">
        <v>1</v>
      </c>
    </row>
    <row r="426" spans="1:13" ht="12">
      <c r="A426" s="30">
        <v>1</v>
      </c>
      <c r="B426" s="30"/>
      <c r="C426" s="4" t="s">
        <v>608</v>
      </c>
      <c r="E426" s="30">
        <v>1</v>
      </c>
      <c r="F426" s="30"/>
      <c r="G426" s="89"/>
      <c r="H426" s="86"/>
      <c r="I426" s="89"/>
      <c r="J426" s="86"/>
      <c r="K426" s="86"/>
      <c r="L426" s="89"/>
      <c r="M426" s="86"/>
    </row>
    <row r="427" spans="1:13" ht="12">
      <c r="A427" s="30"/>
      <c r="B427" s="30"/>
      <c r="C427" s="4"/>
      <c r="E427" s="30"/>
      <c r="F427" s="30"/>
      <c r="G427" s="89"/>
      <c r="H427" s="86"/>
      <c r="I427" s="89"/>
      <c r="J427" s="86"/>
      <c r="K427" s="86"/>
      <c r="L427" s="89"/>
      <c r="M427" s="86"/>
    </row>
    <row r="428" spans="1:13" ht="12">
      <c r="A428" s="30">
        <f>(A426+1)</f>
        <v>2</v>
      </c>
      <c r="B428" s="30"/>
      <c r="C428" s="4" t="s">
        <v>80</v>
      </c>
      <c r="E428" s="30">
        <f>(E426+1)</f>
        <v>2</v>
      </c>
      <c r="F428" s="30"/>
      <c r="G428" s="89"/>
      <c r="H428" s="179">
        <f>125483.14</f>
        <v>125483.14</v>
      </c>
      <c r="I428" s="180"/>
      <c r="J428" s="179"/>
      <c r="K428" s="179"/>
      <c r="L428" s="180"/>
      <c r="M428" s="179"/>
    </row>
    <row r="429" spans="1:13" ht="12">
      <c r="A429" s="30">
        <f aca="true" t="shared" si="22" ref="A429:A434">(A428+1)</f>
        <v>3</v>
      </c>
      <c r="B429" s="30"/>
      <c r="C429" s="4" t="s">
        <v>402</v>
      </c>
      <c r="E429" s="30">
        <f aca="true" t="shared" si="23" ref="E429:E434">(E428+1)</f>
        <v>3</v>
      </c>
      <c r="F429" s="30"/>
      <c r="G429" s="89"/>
      <c r="H429" s="179">
        <f>6054765.27</f>
        <v>6054765.27</v>
      </c>
      <c r="I429" s="180"/>
      <c r="J429" s="179">
        <f>6270593.51</f>
        <v>6270593.51</v>
      </c>
      <c r="K429" s="179"/>
      <c r="L429" s="180"/>
      <c r="M429" s="179">
        <f>6381094</f>
        <v>6381094</v>
      </c>
    </row>
    <row r="430" spans="1:13" ht="12">
      <c r="A430" s="30">
        <f t="shared" si="22"/>
        <v>4</v>
      </c>
      <c r="B430" s="30"/>
      <c r="C430" s="4" t="s">
        <v>250</v>
      </c>
      <c r="E430" s="30">
        <f t="shared" si="23"/>
        <v>4</v>
      </c>
      <c r="F430" s="30"/>
      <c r="G430" s="89"/>
      <c r="H430" s="179">
        <f>4660597.53</f>
        <v>4660597.53</v>
      </c>
      <c r="I430" s="180"/>
      <c r="J430" s="179">
        <f>4699411.38</f>
        <v>4699411.38</v>
      </c>
      <c r="K430" s="179"/>
      <c r="L430" s="180"/>
      <c r="M430" s="179">
        <f>4796725</f>
        <v>4796725</v>
      </c>
    </row>
    <row r="431" spans="1:13" ht="12">
      <c r="A431" s="30">
        <f t="shared" si="22"/>
        <v>5</v>
      </c>
      <c r="B431" s="30"/>
      <c r="C431" s="5" t="s">
        <v>403</v>
      </c>
      <c r="E431" s="30">
        <f t="shared" si="23"/>
        <v>5</v>
      </c>
      <c r="F431" s="30"/>
      <c r="G431" s="89"/>
      <c r="H431" s="179"/>
      <c r="I431" s="180"/>
      <c r="J431" s="179"/>
      <c r="K431" s="179"/>
      <c r="L431" s="180"/>
      <c r="M431" s="179"/>
    </row>
    <row r="432" spans="1:13" ht="12">
      <c r="A432" s="30">
        <f t="shared" si="22"/>
        <v>6</v>
      </c>
      <c r="B432" s="30"/>
      <c r="C432" s="5" t="s">
        <v>404</v>
      </c>
      <c r="E432" s="30">
        <f t="shared" si="23"/>
        <v>6</v>
      </c>
      <c r="F432" s="30"/>
      <c r="G432" s="89"/>
      <c r="H432" s="179"/>
      <c r="I432" s="180"/>
      <c r="J432" s="179"/>
      <c r="K432" s="179"/>
      <c r="L432" s="180"/>
      <c r="M432" s="179"/>
    </row>
    <row r="433" spans="1:13" ht="12">
      <c r="A433" s="30">
        <f t="shared" si="22"/>
        <v>7</v>
      </c>
      <c r="B433" s="30"/>
      <c r="C433" s="5" t="s">
        <v>81</v>
      </c>
      <c r="E433" s="30">
        <f t="shared" si="23"/>
        <v>7</v>
      </c>
      <c r="F433" s="30"/>
      <c r="G433" s="89"/>
      <c r="H433" s="192">
        <f>513777.46</f>
        <v>513777.46</v>
      </c>
      <c r="J433" s="192">
        <f>777137.6</f>
        <v>777137.6</v>
      </c>
      <c r="K433" s="192"/>
      <c r="L433" s="180"/>
      <c r="M433" s="179">
        <f>396637</f>
        <v>396637</v>
      </c>
    </row>
    <row r="434" spans="1:13" ht="12">
      <c r="A434" s="30">
        <f t="shared" si="22"/>
        <v>8</v>
      </c>
      <c r="B434" s="30"/>
      <c r="C434" s="5" t="s">
        <v>405</v>
      </c>
      <c r="E434" s="30">
        <f t="shared" si="23"/>
        <v>8</v>
      </c>
      <c r="F434" s="30"/>
      <c r="G434" s="89"/>
      <c r="H434" s="179">
        <f>1045466.49</f>
        <v>1045466.49</v>
      </c>
      <c r="I434" s="180"/>
      <c r="J434" s="179">
        <f>1038654.83</f>
        <v>1038654.83</v>
      </c>
      <c r="K434" s="179"/>
      <c r="L434" s="180"/>
      <c r="M434" s="179">
        <f>1117574</f>
        <v>1117574</v>
      </c>
    </row>
    <row r="435" spans="1:13" ht="12">
      <c r="A435" s="30"/>
      <c r="B435" s="30"/>
      <c r="E435" s="30"/>
      <c r="F435" s="30"/>
      <c r="G435" s="24" t="s">
        <v>1</v>
      </c>
      <c r="H435" s="24" t="s">
        <v>1</v>
      </c>
      <c r="I435" s="24" t="s">
        <v>1</v>
      </c>
      <c r="J435" s="24" t="s">
        <v>1</v>
      </c>
      <c r="K435" s="24"/>
      <c r="L435" s="24" t="s">
        <v>1</v>
      </c>
      <c r="M435" s="24" t="s">
        <v>1</v>
      </c>
    </row>
    <row r="436" spans="1:13" ht="12">
      <c r="A436" s="30">
        <v>9</v>
      </c>
      <c r="B436" s="30"/>
      <c r="C436" s="5" t="s">
        <v>82</v>
      </c>
      <c r="E436" s="30">
        <v>9</v>
      </c>
      <c r="F436" s="30"/>
      <c r="G436" s="89"/>
      <c r="H436" s="179">
        <f>SUM(H428:H435)</f>
        <v>12400089.89</v>
      </c>
      <c r="I436" s="180"/>
      <c r="J436" s="179">
        <f>SUM(J428:J435)</f>
        <v>12785797.32</v>
      </c>
      <c r="K436" s="179"/>
      <c r="L436" s="180"/>
      <c r="M436" s="179">
        <f>SUM(M428:M435)</f>
        <v>12692030</v>
      </c>
    </row>
    <row r="437" spans="1:13" ht="12">
      <c r="A437" s="30"/>
      <c r="B437" s="30"/>
      <c r="E437" s="30"/>
      <c r="F437" s="30"/>
      <c r="G437" s="24" t="s">
        <v>1</v>
      </c>
      <c r="H437" s="24" t="s">
        <v>1</v>
      </c>
      <c r="I437" s="24" t="s">
        <v>1</v>
      </c>
      <c r="J437" s="24" t="s">
        <v>1</v>
      </c>
      <c r="K437" s="24"/>
      <c r="L437" s="24" t="s">
        <v>1</v>
      </c>
      <c r="M437" s="24" t="s">
        <v>1</v>
      </c>
    </row>
    <row r="438" spans="1:13" ht="12">
      <c r="A438" s="30">
        <v>10</v>
      </c>
      <c r="B438" s="30"/>
      <c r="C438" s="31"/>
      <c r="E438" s="30">
        <v>10</v>
      </c>
      <c r="F438" s="30"/>
      <c r="G438" s="89"/>
      <c r="H438" s="179"/>
      <c r="I438" s="180"/>
      <c r="J438" s="179"/>
      <c r="K438" s="179"/>
      <c r="L438" s="180"/>
      <c r="M438" s="179"/>
    </row>
    <row r="439" spans="1:13" ht="12">
      <c r="A439" s="30">
        <v>11</v>
      </c>
      <c r="B439" s="30"/>
      <c r="C439" s="31" t="s">
        <v>406</v>
      </c>
      <c r="E439" s="30">
        <v>11</v>
      </c>
      <c r="F439" s="30"/>
      <c r="G439" s="89"/>
      <c r="H439" s="86"/>
      <c r="I439" s="89"/>
      <c r="J439" s="86"/>
      <c r="K439" s="86"/>
      <c r="L439" s="89"/>
      <c r="M439" s="86"/>
    </row>
    <row r="440" spans="1:13" ht="12">
      <c r="A440" s="30">
        <v>12</v>
      </c>
      <c r="B440" s="30"/>
      <c r="C440" s="31" t="s">
        <v>81</v>
      </c>
      <c r="D440" s="35"/>
      <c r="E440" s="30">
        <v>12</v>
      </c>
      <c r="F440" s="30"/>
      <c r="G440" s="89"/>
      <c r="H440" s="86">
        <f>2317100</f>
        <v>2317100</v>
      </c>
      <c r="I440" s="89"/>
      <c r="J440" s="86">
        <f>2481139.75</f>
        <v>2481139.75</v>
      </c>
      <c r="K440" s="86"/>
      <c r="L440" s="89"/>
      <c r="M440" s="86">
        <f>2082370</f>
        <v>2082370</v>
      </c>
    </row>
    <row r="441" spans="1:13" ht="12">
      <c r="A441" s="30">
        <v>13</v>
      </c>
      <c r="B441" s="30"/>
      <c r="E441" s="30">
        <v>13</v>
      </c>
      <c r="F441" s="30"/>
      <c r="G441" s="89"/>
      <c r="H441" s="86"/>
      <c r="I441" s="89"/>
      <c r="J441" s="86"/>
      <c r="K441" s="86"/>
      <c r="L441" s="89"/>
      <c r="M441" s="86"/>
    </row>
    <row r="442" spans="7:13" ht="12">
      <c r="G442" s="24" t="s">
        <v>1</v>
      </c>
      <c r="H442" s="24" t="s">
        <v>1</v>
      </c>
      <c r="I442" s="24" t="s">
        <v>1</v>
      </c>
      <c r="J442" s="24" t="s">
        <v>1</v>
      </c>
      <c r="K442" s="24"/>
      <c r="L442" s="24" t="s">
        <v>1</v>
      </c>
      <c r="M442" s="24" t="s">
        <v>1</v>
      </c>
    </row>
    <row r="443" spans="1:13" ht="12">
      <c r="A443" s="30">
        <v>14</v>
      </c>
      <c r="B443" s="30"/>
      <c r="C443" s="5" t="s">
        <v>116</v>
      </c>
      <c r="E443" s="30">
        <v>14</v>
      </c>
      <c r="F443" s="30"/>
      <c r="G443" s="89"/>
      <c r="H443" s="86">
        <f>SUM(H438:H441)</f>
        <v>2317100</v>
      </c>
      <c r="I443" s="89"/>
      <c r="J443" s="86">
        <f>SUM(J438:J441)</f>
        <v>2481139.75</v>
      </c>
      <c r="K443" s="86"/>
      <c r="L443" s="89"/>
      <c r="M443" s="86">
        <f>SUM(M438:M441)</f>
        <v>2082370</v>
      </c>
    </row>
    <row r="444" spans="1:13" ht="12">
      <c r="A444" s="30"/>
      <c r="B444" s="30"/>
      <c r="E444" s="30"/>
      <c r="F444" s="30"/>
      <c r="G444" s="24" t="s">
        <v>1</v>
      </c>
      <c r="H444" s="24" t="s">
        <v>1</v>
      </c>
      <c r="I444" s="24" t="s">
        <v>1</v>
      </c>
      <c r="J444" s="24" t="s">
        <v>1</v>
      </c>
      <c r="K444" s="24"/>
      <c r="L444" s="24" t="s">
        <v>1</v>
      </c>
      <c r="M444" s="24" t="s">
        <v>1</v>
      </c>
    </row>
    <row r="445" spans="1:13" ht="12">
      <c r="A445" s="30">
        <v>15</v>
      </c>
      <c r="B445" s="30"/>
      <c r="C445" s="31" t="s">
        <v>93</v>
      </c>
      <c r="D445" s="36"/>
      <c r="E445" s="30">
        <v>15</v>
      </c>
      <c r="F445" s="30"/>
      <c r="G445" s="89"/>
      <c r="H445" s="86">
        <f>SUM(H436,H443)</f>
        <v>14717189.89</v>
      </c>
      <c r="I445" s="89"/>
      <c r="J445" s="86">
        <f>SUM(J436,J443)</f>
        <v>15266937.07</v>
      </c>
      <c r="K445" s="86"/>
      <c r="L445" s="89"/>
      <c r="M445" s="86">
        <f>SUM(M436,M443)</f>
        <v>14774400</v>
      </c>
    </row>
    <row r="446" spans="1:13" ht="12">
      <c r="A446" s="30"/>
      <c r="B446" s="30"/>
      <c r="C446" s="31"/>
      <c r="D446" s="36"/>
      <c r="E446" s="30"/>
      <c r="F446" s="30"/>
      <c r="G446" s="89"/>
      <c r="H446" s="86"/>
      <c r="I446" s="89"/>
      <c r="J446" s="86"/>
      <c r="K446" s="86"/>
      <c r="L446" s="89"/>
      <c r="M446" s="86"/>
    </row>
    <row r="447" spans="1:13" ht="12">
      <c r="A447" s="30"/>
      <c r="B447" s="30"/>
      <c r="E447" s="30"/>
      <c r="F447" s="30"/>
      <c r="G447" s="89"/>
      <c r="H447" s="86"/>
      <c r="I447" s="89"/>
      <c r="J447" s="86"/>
      <c r="K447" s="86"/>
      <c r="L447" s="89"/>
      <c r="M447" s="86"/>
    </row>
    <row r="448" spans="1:13" ht="12">
      <c r="A448" s="30">
        <v>16</v>
      </c>
      <c r="B448" s="30"/>
      <c r="C448" s="31" t="s">
        <v>407</v>
      </c>
      <c r="E448" s="30">
        <v>16</v>
      </c>
      <c r="F448" s="30"/>
      <c r="G448" s="89"/>
      <c r="H448" s="179">
        <f>-1902756</f>
        <v>-1902756</v>
      </c>
      <c r="I448" s="180"/>
      <c r="J448" s="179">
        <f>-5568066</f>
        <v>-5568066</v>
      </c>
      <c r="K448" s="179"/>
      <c r="L448" s="179"/>
      <c r="M448" s="179">
        <v>0</v>
      </c>
    </row>
    <row r="449" spans="1:13" ht="12">
      <c r="A449" s="30">
        <v>17</v>
      </c>
      <c r="B449" s="30"/>
      <c r="C449" s="4" t="s">
        <v>0</v>
      </c>
      <c r="E449" s="30">
        <v>17</v>
      </c>
      <c r="F449" s="30"/>
      <c r="H449" s="179"/>
      <c r="I449" s="27"/>
      <c r="J449" s="179"/>
      <c r="K449" s="179"/>
      <c r="L449" s="179"/>
      <c r="M449" s="179"/>
    </row>
    <row r="450" spans="1:6" ht="12">
      <c r="A450" s="30">
        <v>18</v>
      </c>
      <c r="B450" s="30"/>
      <c r="E450" s="30">
        <v>18</v>
      </c>
      <c r="F450" s="30"/>
    </row>
    <row r="451" spans="1:6" ht="12">
      <c r="A451" s="30">
        <v>19</v>
      </c>
      <c r="B451" s="30"/>
      <c r="E451" s="30">
        <v>19</v>
      </c>
      <c r="F451" s="30"/>
    </row>
    <row r="452" spans="1:13" ht="12">
      <c r="A452" s="30"/>
      <c r="B452" s="30"/>
      <c r="C452" s="31"/>
      <c r="E452" s="30"/>
      <c r="F452" s="30"/>
      <c r="G452" s="24" t="s">
        <v>1</v>
      </c>
      <c r="H452" s="24" t="s">
        <v>1</v>
      </c>
      <c r="I452" s="24" t="s">
        <v>1</v>
      </c>
      <c r="J452" s="24" t="s">
        <v>1</v>
      </c>
      <c r="K452" s="24"/>
      <c r="L452" s="24" t="s">
        <v>1</v>
      </c>
      <c r="M452" s="24" t="s">
        <v>1</v>
      </c>
    </row>
    <row r="453" spans="1:13" ht="12">
      <c r="A453" s="30">
        <v>20</v>
      </c>
      <c r="B453" s="30"/>
      <c r="C453" s="31" t="s">
        <v>408</v>
      </c>
      <c r="E453" s="30">
        <v>20</v>
      </c>
      <c r="F453" s="30"/>
      <c r="G453" s="89"/>
      <c r="H453" s="86">
        <f>SUM(H445+H448)</f>
        <v>12814433.89</v>
      </c>
      <c r="I453" s="89"/>
      <c r="J453" s="86">
        <f>SUM(J445+J448)</f>
        <v>9698871.07</v>
      </c>
      <c r="K453" s="86"/>
      <c r="L453" s="89"/>
      <c r="M453" s="86">
        <f>SUM(M445+M448)</f>
        <v>14774400</v>
      </c>
    </row>
    <row r="454" spans="1:13" ht="12">
      <c r="A454" s="37"/>
      <c r="B454" s="37"/>
      <c r="C454" s="4" t="s">
        <v>203</v>
      </c>
      <c r="E454" s="38"/>
      <c r="F454" s="38"/>
      <c r="G454" s="24" t="s">
        <v>1</v>
      </c>
      <c r="H454" s="24" t="s">
        <v>1</v>
      </c>
      <c r="I454" s="24" t="s">
        <v>1</v>
      </c>
      <c r="J454" s="24" t="s">
        <v>1</v>
      </c>
      <c r="K454" s="24"/>
      <c r="L454" s="24" t="s">
        <v>1</v>
      </c>
      <c r="M454" s="24" t="s">
        <v>1</v>
      </c>
    </row>
    <row r="455" spans="7:13" ht="12">
      <c r="G455" s="24"/>
      <c r="H455" s="24"/>
      <c r="I455" s="24"/>
      <c r="J455" s="86"/>
      <c r="K455" s="86"/>
      <c r="L455" s="24"/>
      <c r="M455" s="86"/>
    </row>
    <row r="456" spans="1:13" ht="12">
      <c r="A456" s="68" t="s">
        <v>372</v>
      </c>
      <c r="B456" s="68"/>
      <c r="E456" s="38"/>
      <c r="F456" s="38"/>
      <c r="G456" s="71"/>
      <c r="H456" s="86"/>
      <c r="I456" s="71"/>
      <c r="J456" s="86"/>
      <c r="K456" s="86"/>
      <c r="L456" s="71"/>
      <c r="M456" s="189" t="s">
        <v>84</v>
      </c>
    </row>
    <row r="457" spans="1:13" ht="12">
      <c r="A457" s="430" t="s">
        <v>409</v>
      </c>
      <c r="B457" s="430"/>
      <c r="C457" s="430"/>
      <c r="D457" s="430"/>
      <c r="E457" s="430"/>
      <c r="F457" s="430"/>
      <c r="G457" s="430"/>
      <c r="H457" s="430"/>
      <c r="I457" s="430"/>
      <c r="J457" s="430"/>
      <c r="K457" s="430"/>
      <c r="L457" s="430"/>
      <c r="M457" s="430"/>
    </row>
    <row r="458" spans="1:13" ht="12">
      <c r="A458" s="68" t="s">
        <v>345</v>
      </c>
      <c r="B458" s="68"/>
      <c r="G458" s="7"/>
      <c r="H458" s="106"/>
      <c r="I458" s="106"/>
      <c r="J458" s="86"/>
      <c r="K458" s="86"/>
      <c r="L458" s="71"/>
      <c r="M458" s="190" t="s">
        <v>346</v>
      </c>
    </row>
    <row r="459" spans="1:13" ht="12">
      <c r="A459" s="15" t="s">
        <v>1</v>
      </c>
      <c r="B459" s="15"/>
      <c r="C459" s="15" t="s">
        <v>1</v>
      </c>
      <c r="D459" s="15" t="s">
        <v>1</v>
      </c>
      <c r="E459" s="15" t="s">
        <v>1</v>
      </c>
      <c r="F459" s="15"/>
      <c r="G459" s="15" t="s">
        <v>1</v>
      </c>
      <c r="H459" s="15" t="s">
        <v>1</v>
      </c>
      <c r="I459" s="15" t="s">
        <v>1</v>
      </c>
      <c r="J459" s="15" t="s">
        <v>1</v>
      </c>
      <c r="K459" s="15"/>
      <c r="L459" s="15" t="s">
        <v>1</v>
      </c>
      <c r="M459" s="15" t="s">
        <v>1</v>
      </c>
    </row>
    <row r="460" spans="1:13" ht="12">
      <c r="A460" s="73" t="s">
        <v>2</v>
      </c>
      <c r="B460" s="73"/>
      <c r="E460" s="73" t="s">
        <v>2</v>
      </c>
      <c r="F460" s="73"/>
      <c r="G460" s="86"/>
      <c r="H460" s="123" t="s">
        <v>172</v>
      </c>
      <c r="I460" s="89"/>
      <c r="J460" s="123" t="s">
        <v>280</v>
      </c>
      <c r="K460" s="123"/>
      <c r="L460" s="89"/>
      <c r="M460" s="123" t="s">
        <v>289</v>
      </c>
    </row>
    <row r="461" spans="1:13" ht="12">
      <c r="A461" s="73" t="s">
        <v>4</v>
      </c>
      <c r="B461" s="73"/>
      <c r="C461" s="74" t="s">
        <v>20</v>
      </c>
      <c r="E461" s="73" t="s">
        <v>4</v>
      </c>
      <c r="F461" s="73"/>
      <c r="G461" s="71"/>
      <c r="H461" s="123" t="s">
        <v>7</v>
      </c>
      <c r="I461" s="71"/>
      <c r="J461" s="123" t="s">
        <v>7</v>
      </c>
      <c r="K461" s="123"/>
      <c r="L461" s="71"/>
      <c r="M461" s="123" t="s">
        <v>8</v>
      </c>
    </row>
    <row r="462" spans="1:13" ht="12">
      <c r="A462" s="15" t="s">
        <v>1</v>
      </c>
      <c r="B462" s="15"/>
      <c r="C462" s="15" t="s">
        <v>1</v>
      </c>
      <c r="D462" s="15" t="s">
        <v>1</v>
      </c>
      <c r="E462" s="15" t="s">
        <v>1</v>
      </c>
      <c r="F462" s="15"/>
      <c r="G462" s="15" t="s">
        <v>1</v>
      </c>
      <c r="H462" s="15" t="s">
        <v>1</v>
      </c>
      <c r="I462" s="15" t="s">
        <v>1</v>
      </c>
      <c r="J462" s="15" t="s">
        <v>1</v>
      </c>
      <c r="K462" s="15"/>
      <c r="L462" s="15" t="s">
        <v>1</v>
      </c>
      <c r="M462" s="176" t="s">
        <v>1</v>
      </c>
    </row>
    <row r="463" spans="1:13" ht="12">
      <c r="A463" s="30">
        <v>1</v>
      </c>
      <c r="B463" s="30"/>
      <c r="C463" s="4" t="s">
        <v>609</v>
      </c>
      <c r="E463" s="30">
        <v>1</v>
      </c>
      <c r="F463" s="30"/>
      <c r="G463" s="89"/>
      <c r="H463" s="86"/>
      <c r="I463" s="89"/>
      <c r="J463" s="86"/>
      <c r="K463" s="86"/>
      <c r="L463" s="89"/>
      <c r="M463" s="86"/>
    </row>
    <row r="464" spans="1:13" ht="12">
      <c r="A464" s="30"/>
      <c r="B464" s="30"/>
      <c r="C464" s="4"/>
      <c r="E464" s="30"/>
      <c r="F464" s="30"/>
      <c r="G464" s="89"/>
      <c r="H464" s="86"/>
      <c r="I464" s="89"/>
      <c r="J464" s="86"/>
      <c r="K464" s="86"/>
      <c r="L464" s="89"/>
      <c r="M464" s="86"/>
    </row>
    <row r="465" spans="1:13" ht="12">
      <c r="A465" s="30">
        <f>(A463+1)</f>
        <v>2</v>
      </c>
      <c r="B465" s="30"/>
      <c r="C465" s="27" t="s">
        <v>610</v>
      </c>
      <c r="E465" s="30">
        <f>(E463+1)</f>
        <v>2</v>
      </c>
      <c r="F465" s="30"/>
      <c r="G465" s="89"/>
      <c r="H465" s="179">
        <f>41237585.88</f>
        <v>41237585.88</v>
      </c>
      <c r="I465" s="180"/>
      <c r="J465" s="179">
        <f>43713138.94</f>
        <v>43713138.94</v>
      </c>
      <c r="K465" s="179"/>
      <c r="L465" s="180"/>
      <c r="M465" s="179">
        <f>42037137</f>
        <v>42037137</v>
      </c>
    </row>
    <row r="466" spans="1:13" ht="12">
      <c r="A466" s="30">
        <f aca="true" t="shared" si="24" ref="A466:A471">(A465+1)</f>
        <v>3</v>
      </c>
      <c r="B466" s="30"/>
      <c r="C466" s="27" t="s">
        <v>240</v>
      </c>
      <c r="E466" s="30">
        <f aca="true" t="shared" si="25" ref="E466:E471">(E465+1)</f>
        <v>3</v>
      </c>
      <c r="F466" s="30"/>
      <c r="G466" s="89"/>
      <c r="H466" s="179"/>
      <c r="I466" s="180"/>
      <c r="J466" s="179"/>
      <c r="K466" s="179"/>
      <c r="L466" s="180"/>
      <c r="M466" s="179"/>
    </row>
    <row r="467" spans="1:13" ht="12">
      <c r="A467" s="30">
        <f t="shared" si="24"/>
        <v>4</v>
      </c>
      <c r="B467" s="30"/>
      <c r="C467" s="27"/>
      <c r="E467" s="30">
        <f t="shared" si="25"/>
        <v>4</v>
      </c>
      <c r="F467" s="30"/>
      <c r="G467" s="89"/>
      <c r="H467" s="179"/>
      <c r="I467" s="180"/>
      <c r="J467" s="179"/>
      <c r="K467" s="179"/>
      <c r="L467" s="180"/>
      <c r="M467" s="179"/>
    </row>
    <row r="468" spans="1:13" ht="12">
      <c r="A468" s="30">
        <f t="shared" si="24"/>
        <v>5</v>
      </c>
      <c r="B468" s="30"/>
      <c r="C468" s="27"/>
      <c r="E468" s="30">
        <f t="shared" si="25"/>
        <v>5</v>
      </c>
      <c r="F468" s="30"/>
      <c r="G468" s="89"/>
      <c r="H468" s="179"/>
      <c r="I468" s="180"/>
      <c r="J468" s="179"/>
      <c r="K468" s="179"/>
      <c r="L468" s="180"/>
      <c r="M468" s="179"/>
    </row>
    <row r="469" spans="1:13" ht="12">
      <c r="A469" s="30">
        <f t="shared" si="24"/>
        <v>6</v>
      </c>
      <c r="B469" s="30"/>
      <c r="C469" s="27"/>
      <c r="E469" s="30">
        <f t="shared" si="25"/>
        <v>6</v>
      </c>
      <c r="F469" s="30"/>
      <c r="G469" s="89"/>
      <c r="H469" s="179"/>
      <c r="I469" s="180"/>
      <c r="J469" s="179"/>
      <c r="K469" s="179"/>
      <c r="L469" s="180"/>
      <c r="M469" s="179"/>
    </row>
    <row r="470" spans="1:13" ht="12">
      <c r="A470" s="30">
        <f t="shared" si="24"/>
        <v>7</v>
      </c>
      <c r="B470" s="30"/>
      <c r="C470" s="27"/>
      <c r="E470" s="30">
        <f t="shared" si="25"/>
        <v>7</v>
      </c>
      <c r="F470" s="30"/>
      <c r="G470" s="89"/>
      <c r="H470" s="179"/>
      <c r="I470" s="180"/>
      <c r="J470" s="179"/>
      <c r="K470" s="179"/>
      <c r="L470" s="180"/>
      <c r="M470" s="179"/>
    </row>
    <row r="471" spans="1:13" ht="12">
      <c r="A471" s="30">
        <f t="shared" si="24"/>
        <v>8</v>
      </c>
      <c r="B471" s="30"/>
      <c r="C471" s="27" t="s">
        <v>410</v>
      </c>
      <c r="E471" s="30">
        <f t="shared" si="25"/>
        <v>8</v>
      </c>
      <c r="F471" s="30"/>
      <c r="G471" s="89"/>
      <c r="H471" s="179"/>
      <c r="I471" s="180"/>
      <c r="J471" s="179"/>
      <c r="K471" s="179"/>
      <c r="L471" s="180"/>
      <c r="M471" s="179"/>
    </row>
    <row r="472" spans="1:13" ht="12">
      <c r="A472" s="30"/>
      <c r="B472" s="30"/>
      <c r="C472" s="27"/>
      <c r="E472" s="30"/>
      <c r="F472" s="30"/>
      <c r="G472" s="24" t="s">
        <v>1</v>
      </c>
      <c r="H472" s="24" t="s">
        <v>1</v>
      </c>
      <c r="I472" s="24" t="s">
        <v>1</v>
      </c>
      <c r="J472" s="24" t="s">
        <v>1</v>
      </c>
      <c r="K472" s="24"/>
      <c r="L472" s="24" t="s">
        <v>1</v>
      </c>
      <c r="M472" s="24" t="s">
        <v>1</v>
      </c>
    </row>
    <row r="473" spans="1:13" ht="12">
      <c r="A473" s="30">
        <v>9</v>
      </c>
      <c r="B473" s="30"/>
      <c r="C473" s="5" t="s">
        <v>82</v>
      </c>
      <c r="E473" s="30">
        <v>9</v>
      </c>
      <c r="F473" s="30"/>
      <c r="G473" s="89"/>
      <c r="H473" s="179">
        <f>SUM(H465:H472)</f>
        <v>41237585.88</v>
      </c>
      <c r="I473" s="180"/>
      <c r="J473" s="179">
        <f>SUM(J465:J472)</f>
        <v>43713138.94</v>
      </c>
      <c r="K473" s="179"/>
      <c r="L473" s="180"/>
      <c r="M473" s="179">
        <f>SUM(M465:M472)</f>
        <v>42037137</v>
      </c>
    </row>
    <row r="474" spans="1:13" ht="12">
      <c r="A474" s="30"/>
      <c r="B474" s="30"/>
      <c r="C474" s="27"/>
      <c r="E474" s="30"/>
      <c r="F474" s="30"/>
      <c r="G474" s="89"/>
      <c r="H474" s="179"/>
      <c r="I474" s="180"/>
      <c r="J474" s="179"/>
      <c r="K474" s="179"/>
      <c r="L474" s="180"/>
      <c r="M474" s="179"/>
    </row>
    <row r="475" spans="1:13" ht="12">
      <c r="A475" s="30">
        <v>10</v>
      </c>
      <c r="B475" s="30"/>
      <c r="E475" s="30">
        <v>10</v>
      </c>
      <c r="F475" s="30"/>
      <c r="G475" s="89"/>
      <c r="H475" s="179">
        <v>0</v>
      </c>
      <c r="I475" s="180"/>
      <c r="J475" s="179">
        <v>0</v>
      </c>
      <c r="K475" s="179"/>
      <c r="L475" s="180"/>
      <c r="M475" s="179">
        <v>0</v>
      </c>
    </row>
    <row r="476" spans="1:13" ht="12">
      <c r="A476" s="30">
        <v>11</v>
      </c>
      <c r="B476" s="30"/>
      <c r="C476" s="27" t="s">
        <v>88</v>
      </c>
      <c r="E476" s="30">
        <v>11</v>
      </c>
      <c r="F476" s="30"/>
      <c r="G476" s="89"/>
      <c r="H476" s="179"/>
      <c r="I476" s="180"/>
      <c r="J476" s="179"/>
      <c r="K476" s="179"/>
      <c r="L476" s="180"/>
      <c r="M476" s="179"/>
    </row>
    <row r="477" spans="1:13" ht="12">
      <c r="A477" s="30">
        <v>12</v>
      </c>
      <c r="B477" s="30"/>
      <c r="C477" s="27" t="s">
        <v>240</v>
      </c>
      <c r="E477" s="30">
        <v>12</v>
      </c>
      <c r="F477" s="30"/>
      <c r="G477" s="89"/>
      <c r="H477" s="179"/>
      <c r="I477" s="180"/>
      <c r="J477" s="179"/>
      <c r="K477" s="179"/>
      <c r="L477" s="180"/>
      <c r="M477" s="179"/>
    </row>
    <row r="478" spans="1:13" ht="12">
      <c r="A478" s="30">
        <v>13</v>
      </c>
      <c r="B478" s="30"/>
      <c r="C478" s="27"/>
      <c r="E478" s="30">
        <v>13</v>
      </c>
      <c r="F478" s="30"/>
      <c r="G478" s="89"/>
      <c r="H478" s="179"/>
      <c r="I478" s="180"/>
      <c r="J478" s="179"/>
      <c r="K478" s="179"/>
      <c r="L478" s="180"/>
      <c r="M478" s="179"/>
    </row>
    <row r="479" spans="3:13" ht="12">
      <c r="C479" s="27"/>
      <c r="G479" s="24" t="s">
        <v>1</v>
      </c>
      <c r="H479" s="24" t="s">
        <v>1</v>
      </c>
      <c r="I479" s="24" t="s">
        <v>1</v>
      </c>
      <c r="J479" s="24" t="s">
        <v>1</v>
      </c>
      <c r="K479" s="24"/>
      <c r="L479" s="24" t="s">
        <v>1</v>
      </c>
      <c r="M479" s="24" t="s">
        <v>1</v>
      </c>
    </row>
    <row r="480" spans="1:13" ht="12">
      <c r="A480" s="30">
        <v>14</v>
      </c>
      <c r="B480" s="30"/>
      <c r="C480" s="5" t="s">
        <v>116</v>
      </c>
      <c r="E480" s="30">
        <v>14</v>
      </c>
      <c r="F480" s="30"/>
      <c r="G480" s="89"/>
      <c r="H480" s="86">
        <f>SUM(H475:H479)</f>
        <v>0</v>
      </c>
      <c r="I480" s="89"/>
      <c r="J480" s="86">
        <f>SUM(J475:J479)</f>
        <v>0</v>
      </c>
      <c r="K480" s="86"/>
      <c r="L480" s="89"/>
      <c r="M480" s="86">
        <f>SUM(M475:M479)</f>
        <v>0</v>
      </c>
    </row>
    <row r="481" spans="1:13" ht="12">
      <c r="A481" s="30"/>
      <c r="B481" s="30"/>
      <c r="C481" s="27"/>
      <c r="E481" s="30"/>
      <c r="F481" s="30"/>
      <c r="G481" s="24" t="s">
        <v>1</v>
      </c>
      <c r="H481" s="24" t="s">
        <v>1</v>
      </c>
      <c r="I481" s="24" t="s">
        <v>1</v>
      </c>
      <c r="J481" s="24" t="s">
        <v>1</v>
      </c>
      <c r="K481" s="24"/>
      <c r="L481" s="24" t="s">
        <v>1</v>
      </c>
      <c r="M481" s="24" t="s">
        <v>1</v>
      </c>
    </row>
    <row r="482" spans="1:13" ht="12">
      <c r="A482" s="30">
        <v>15</v>
      </c>
      <c r="B482" s="30"/>
      <c r="C482" s="4" t="s">
        <v>411</v>
      </c>
      <c r="E482" s="30">
        <v>15</v>
      </c>
      <c r="F482" s="30"/>
      <c r="G482" s="89"/>
      <c r="H482" s="86">
        <f>SUM(H473+H480)</f>
        <v>41237585.88</v>
      </c>
      <c r="I482" s="89"/>
      <c r="J482" s="86">
        <f>SUM(J473+J480)</f>
        <v>43713138.94</v>
      </c>
      <c r="K482" s="86"/>
      <c r="L482" s="89"/>
      <c r="M482" s="86">
        <f>SUM(M473+M480)</f>
        <v>42037137</v>
      </c>
    </row>
    <row r="483" spans="1:13" ht="12">
      <c r="A483" s="30"/>
      <c r="B483" s="30"/>
      <c r="C483" s="4"/>
      <c r="E483" s="30"/>
      <c r="F483" s="30"/>
      <c r="G483" s="89"/>
      <c r="H483" s="86"/>
      <c r="I483" s="89"/>
      <c r="J483" s="86"/>
      <c r="K483" s="86"/>
      <c r="L483" s="89"/>
      <c r="M483" s="86"/>
    </row>
    <row r="484" spans="1:13" ht="12">
      <c r="A484" s="30"/>
      <c r="B484" s="30"/>
      <c r="E484" s="30"/>
      <c r="F484" s="30"/>
      <c r="G484" s="89"/>
      <c r="H484" s="86"/>
      <c r="I484" s="89"/>
      <c r="J484" s="86"/>
      <c r="K484" s="86"/>
      <c r="L484" s="89"/>
      <c r="M484" s="86"/>
    </row>
    <row r="485" spans="1:13" ht="12">
      <c r="A485" s="30">
        <v>16</v>
      </c>
      <c r="B485" s="30"/>
      <c r="C485" s="31" t="s">
        <v>407</v>
      </c>
      <c r="E485" s="30">
        <v>16</v>
      </c>
      <c r="F485" s="30"/>
      <c r="G485" s="89"/>
      <c r="H485" s="179"/>
      <c r="I485" s="180"/>
      <c r="J485" s="179"/>
      <c r="K485" s="179"/>
      <c r="L485" s="179"/>
      <c r="M485" s="179"/>
    </row>
    <row r="486" spans="1:13" ht="12">
      <c r="A486" s="30">
        <v>17</v>
      </c>
      <c r="B486" s="30"/>
      <c r="C486" s="4" t="s">
        <v>412</v>
      </c>
      <c r="E486" s="30">
        <v>17</v>
      </c>
      <c r="F486" s="30"/>
      <c r="H486" s="179">
        <f>9495492</f>
        <v>9495492</v>
      </c>
      <c r="I486" s="27"/>
      <c r="J486" s="179">
        <f>1902756</f>
        <v>1902756</v>
      </c>
      <c r="K486" s="179"/>
      <c r="L486" s="179"/>
      <c r="M486" s="179">
        <f>5568066</f>
        <v>5568066</v>
      </c>
    </row>
    <row r="487" spans="1:11" ht="12">
      <c r="A487" s="30">
        <v>18</v>
      </c>
      <c r="B487" s="30"/>
      <c r="E487" s="30">
        <v>18</v>
      </c>
      <c r="F487" s="30"/>
      <c r="H487" s="181"/>
      <c r="J487" s="181"/>
      <c r="K487" s="181"/>
    </row>
    <row r="488" spans="1:6" ht="12">
      <c r="A488" s="30">
        <v>19</v>
      </c>
      <c r="B488" s="30"/>
      <c r="E488" s="30">
        <v>19</v>
      </c>
      <c r="F488" s="30"/>
    </row>
    <row r="489" spans="1:13" ht="12">
      <c r="A489" s="30"/>
      <c r="B489" s="30"/>
      <c r="C489" s="31"/>
      <c r="E489" s="30"/>
      <c r="F489" s="30"/>
      <c r="G489" s="24" t="s">
        <v>1</v>
      </c>
      <c r="H489" s="24" t="s">
        <v>1</v>
      </c>
      <c r="I489" s="24" t="s">
        <v>1</v>
      </c>
      <c r="J489" s="24" t="s">
        <v>1</v>
      </c>
      <c r="K489" s="24"/>
      <c r="L489" s="24" t="s">
        <v>1</v>
      </c>
      <c r="M489" s="24" t="s">
        <v>1</v>
      </c>
    </row>
    <row r="490" spans="1:13" ht="12">
      <c r="A490" s="30">
        <v>20</v>
      </c>
      <c r="B490" s="30"/>
      <c r="C490" s="31" t="s">
        <v>413</v>
      </c>
      <c r="E490" s="30">
        <v>20</v>
      </c>
      <c r="F490" s="30"/>
      <c r="G490" s="89"/>
      <c r="H490" s="86">
        <f>SUM(H482:H488)</f>
        <v>50733077.88</v>
      </c>
      <c r="I490" s="89"/>
      <c r="J490" s="86">
        <f>SUM(J482:J488)</f>
        <v>45615894.94</v>
      </c>
      <c r="K490" s="86"/>
      <c r="L490" s="89"/>
      <c r="M490" s="86">
        <f>SUM(M482:M488)</f>
        <v>47605203</v>
      </c>
    </row>
    <row r="491" spans="1:13" ht="12">
      <c r="A491" s="37"/>
      <c r="B491" s="37"/>
      <c r="C491" s="4" t="s">
        <v>204</v>
      </c>
      <c r="E491" s="38"/>
      <c r="F491" s="38"/>
      <c r="G491" s="24" t="s">
        <v>1</v>
      </c>
      <c r="H491" s="24" t="s">
        <v>1</v>
      </c>
      <c r="I491" s="24" t="s">
        <v>1</v>
      </c>
      <c r="J491" s="24" t="s">
        <v>1</v>
      </c>
      <c r="K491" s="24"/>
      <c r="L491" s="24" t="s">
        <v>1</v>
      </c>
      <c r="M491" s="24" t="s">
        <v>1</v>
      </c>
    </row>
    <row r="492" spans="1:13" ht="12">
      <c r="A492" s="68" t="s">
        <v>372</v>
      </c>
      <c r="B492" s="68"/>
      <c r="E492" s="38"/>
      <c r="F492" s="38"/>
      <c r="G492" s="71"/>
      <c r="H492" s="86"/>
      <c r="I492" s="71"/>
      <c r="J492" s="86"/>
      <c r="K492" s="86"/>
      <c r="L492" s="71"/>
      <c r="M492" s="189" t="s">
        <v>252</v>
      </c>
    </row>
    <row r="493" spans="1:13" ht="12">
      <c r="A493" s="430" t="s">
        <v>251</v>
      </c>
      <c r="B493" s="430"/>
      <c r="C493" s="430"/>
      <c r="D493" s="430"/>
      <c r="E493" s="430"/>
      <c r="F493" s="430"/>
      <c r="G493" s="430"/>
      <c r="H493" s="430"/>
      <c r="I493" s="430"/>
      <c r="J493" s="430"/>
      <c r="K493" s="430"/>
      <c r="L493" s="430"/>
      <c r="M493" s="430"/>
    </row>
    <row r="494" spans="1:13" ht="12">
      <c r="A494" s="68" t="s">
        <v>345</v>
      </c>
      <c r="B494" s="68"/>
      <c r="G494" s="7"/>
      <c r="H494" s="106"/>
      <c r="I494" s="106"/>
      <c r="J494" s="86"/>
      <c r="K494" s="86"/>
      <c r="L494" s="71"/>
      <c r="M494" s="190" t="s">
        <v>346</v>
      </c>
    </row>
    <row r="495" spans="1:13" ht="12">
      <c r="A495" s="15" t="s">
        <v>1</v>
      </c>
      <c r="B495" s="15"/>
      <c r="C495" s="15" t="s">
        <v>1</v>
      </c>
      <c r="D495" s="15" t="s">
        <v>1</v>
      </c>
      <c r="E495" s="15" t="s">
        <v>1</v>
      </c>
      <c r="F495" s="15"/>
      <c r="G495" s="15" t="s">
        <v>1</v>
      </c>
      <c r="H495" s="15" t="s">
        <v>1</v>
      </c>
      <c r="I495" s="15" t="s">
        <v>1</v>
      </c>
      <c r="J495" s="15" t="s">
        <v>1</v>
      </c>
      <c r="K495" s="15"/>
      <c r="L495" s="15" t="s">
        <v>1</v>
      </c>
      <c r="M495" s="15" t="s">
        <v>1</v>
      </c>
    </row>
    <row r="496" spans="1:13" ht="12">
      <c r="A496" s="73" t="s">
        <v>2</v>
      </c>
      <c r="B496" s="73"/>
      <c r="E496" s="73" t="s">
        <v>2</v>
      </c>
      <c r="F496" s="73"/>
      <c r="G496" s="86"/>
      <c r="H496" s="123" t="s">
        <v>172</v>
      </c>
      <c r="I496" s="89"/>
      <c r="J496" s="123" t="s">
        <v>280</v>
      </c>
      <c r="K496" s="123"/>
      <c r="L496" s="89"/>
      <c r="M496" s="123" t="s">
        <v>289</v>
      </c>
    </row>
    <row r="497" spans="1:13" ht="12">
      <c r="A497" s="73" t="s">
        <v>4</v>
      </c>
      <c r="B497" s="73"/>
      <c r="C497" s="74" t="s">
        <v>20</v>
      </c>
      <c r="E497" s="73" t="s">
        <v>4</v>
      </c>
      <c r="F497" s="73"/>
      <c r="G497" s="71"/>
      <c r="H497" s="123" t="s">
        <v>7</v>
      </c>
      <c r="I497" s="71"/>
      <c r="J497" s="123" t="s">
        <v>7</v>
      </c>
      <c r="K497" s="123"/>
      <c r="L497" s="71"/>
      <c r="M497" s="123" t="s">
        <v>8</v>
      </c>
    </row>
    <row r="498" spans="1:13" ht="12">
      <c r="A498" s="15" t="s">
        <v>1</v>
      </c>
      <c r="B498" s="15"/>
      <c r="C498" s="15" t="s">
        <v>1</v>
      </c>
      <c r="D498" s="15" t="s">
        <v>1</v>
      </c>
      <c r="E498" s="15" t="s">
        <v>1</v>
      </c>
      <c r="F498" s="15"/>
      <c r="G498" s="15" t="s">
        <v>1</v>
      </c>
      <c r="H498" s="15" t="s">
        <v>1</v>
      </c>
      <c r="I498" s="15" t="s">
        <v>1</v>
      </c>
      <c r="J498" s="15" t="s">
        <v>1</v>
      </c>
      <c r="K498" s="15"/>
      <c r="L498" s="15" t="s">
        <v>1</v>
      </c>
      <c r="M498" s="176" t="s">
        <v>1</v>
      </c>
    </row>
    <row r="499" spans="1:13" ht="12">
      <c r="A499" s="5">
        <v>1</v>
      </c>
      <c r="C499" s="5" t="s">
        <v>259</v>
      </c>
      <c r="E499" s="5">
        <v>1</v>
      </c>
      <c r="G499" s="24"/>
      <c r="H499" s="24"/>
      <c r="I499" s="24"/>
      <c r="J499" s="86"/>
      <c r="K499" s="86"/>
      <c r="L499" s="24"/>
      <c r="M499" s="24"/>
    </row>
    <row r="500" spans="7:13" ht="12">
      <c r="G500" s="24"/>
      <c r="H500" s="24"/>
      <c r="I500" s="24"/>
      <c r="J500" s="86"/>
      <c r="K500" s="86"/>
      <c r="L500" s="24"/>
      <c r="M500" s="24"/>
    </row>
    <row r="501" spans="1:13" ht="12">
      <c r="A501" s="5">
        <v>2</v>
      </c>
      <c r="C501" s="5" t="s">
        <v>414</v>
      </c>
      <c r="E501" s="5">
        <v>2</v>
      </c>
      <c r="G501" s="24"/>
      <c r="H501" s="24"/>
      <c r="I501" s="24"/>
      <c r="J501" s="86"/>
      <c r="K501" s="86"/>
      <c r="L501" s="24"/>
      <c r="M501" s="24"/>
    </row>
    <row r="502" spans="1:13" ht="12">
      <c r="A502" s="5">
        <v>3</v>
      </c>
      <c r="C502" s="5" t="s">
        <v>253</v>
      </c>
      <c r="E502" s="5">
        <v>3</v>
      </c>
      <c r="G502" s="24"/>
      <c r="H502" s="24"/>
      <c r="I502" s="24"/>
      <c r="J502" s="179">
        <f>2871255</f>
        <v>2871255</v>
      </c>
      <c r="K502" s="179"/>
      <c r="L502" s="24"/>
      <c r="M502" s="179">
        <f>5465490</f>
        <v>5465490</v>
      </c>
    </row>
    <row r="503" spans="1:13" ht="12">
      <c r="A503" s="5">
        <v>4</v>
      </c>
      <c r="C503" s="5" t="s">
        <v>415</v>
      </c>
      <c r="E503" s="5">
        <v>4</v>
      </c>
      <c r="G503" s="24"/>
      <c r="H503" s="24"/>
      <c r="I503" s="24"/>
      <c r="J503" s="179">
        <f>100</f>
        <v>100</v>
      </c>
      <c r="K503" s="179"/>
      <c r="L503" s="24"/>
      <c r="M503" s="179">
        <f>200</f>
        <v>200</v>
      </c>
    </row>
    <row r="504" spans="1:5" ht="12">
      <c r="A504" s="5">
        <v>5</v>
      </c>
      <c r="E504" s="5">
        <v>5</v>
      </c>
    </row>
    <row r="505" spans="1:13" ht="12">
      <c r="A505" s="5">
        <v>6</v>
      </c>
      <c r="E505" s="5">
        <v>6</v>
      </c>
      <c r="G505" s="24"/>
      <c r="H505" s="24"/>
      <c r="I505" s="24"/>
      <c r="J505" s="86"/>
      <c r="K505" s="86"/>
      <c r="L505" s="24"/>
      <c r="M505" s="24"/>
    </row>
    <row r="506" spans="1:5" ht="12">
      <c r="A506" s="5">
        <v>7</v>
      </c>
      <c r="E506" s="5">
        <v>7</v>
      </c>
    </row>
    <row r="507" spans="1:13" ht="12">
      <c r="A507" s="5">
        <v>8</v>
      </c>
      <c r="E507" s="5">
        <v>8</v>
      </c>
      <c r="G507" s="24"/>
      <c r="H507" s="24"/>
      <c r="I507" s="24"/>
      <c r="J507" s="86"/>
      <c r="K507" s="86"/>
      <c r="L507" s="24"/>
      <c r="M507" s="24"/>
    </row>
    <row r="508" spans="1:13" ht="12">
      <c r="A508" s="5">
        <v>9</v>
      </c>
      <c r="E508" s="5">
        <v>9</v>
      </c>
      <c r="G508" s="24"/>
      <c r="H508" s="24"/>
      <c r="I508" s="24"/>
      <c r="J508" s="86"/>
      <c r="K508" s="86"/>
      <c r="L508" s="24"/>
      <c r="M508" s="24"/>
    </row>
    <row r="509" spans="1:13" ht="12">
      <c r="A509" s="5">
        <v>10</v>
      </c>
      <c r="E509" s="5">
        <v>10</v>
      </c>
      <c r="G509" s="24"/>
      <c r="H509" s="24"/>
      <c r="I509" s="24"/>
      <c r="J509" s="86"/>
      <c r="K509" s="86"/>
      <c r="L509" s="24"/>
      <c r="M509" s="24"/>
    </row>
    <row r="510" spans="1:13" ht="12">
      <c r="A510" s="5">
        <v>11</v>
      </c>
      <c r="E510" s="5">
        <v>11</v>
      </c>
      <c r="G510" s="24"/>
      <c r="H510" s="24"/>
      <c r="I510" s="24"/>
      <c r="J510" s="86"/>
      <c r="K510" s="86"/>
      <c r="L510" s="24"/>
      <c r="M510" s="24"/>
    </row>
    <row r="511" spans="1:13" ht="12">
      <c r="A511" s="5">
        <v>12</v>
      </c>
      <c r="E511" s="5">
        <v>12</v>
      </c>
      <c r="G511" s="24"/>
      <c r="H511" s="24"/>
      <c r="I511" s="24"/>
      <c r="J511" s="86"/>
      <c r="K511" s="86"/>
      <c r="L511" s="24"/>
      <c r="M511" s="24"/>
    </row>
    <row r="512" spans="1:13" ht="12">
      <c r="A512" s="5">
        <v>13</v>
      </c>
      <c r="E512" s="5">
        <v>13</v>
      </c>
      <c r="G512" s="24"/>
      <c r="H512" s="24"/>
      <c r="I512" s="24"/>
      <c r="J512" s="86"/>
      <c r="K512" s="86"/>
      <c r="L512" s="24"/>
      <c r="M512" s="24"/>
    </row>
    <row r="513" spans="1:13" ht="12">
      <c r="A513" s="5">
        <v>14</v>
      </c>
      <c r="E513" s="5">
        <v>14</v>
      </c>
      <c r="G513" s="24"/>
      <c r="H513" s="24"/>
      <c r="I513" s="24"/>
      <c r="J513" s="86"/>
      <c r="K513" s="86"/>
      <c r="L513" s="24"/>
      <c r="M513" s="24"/>
    </row>
    <row r="514" spans="1:13" ht="12">
      <c r="A514" s="5">
        <v>15</v>
      </c>
      <c r="E514" s="5">
        <v>15</v>
      </c>
      <c r="G514" s="24"/>
      <c r="H514" s="24"/>
      <c r="I514" s="24"/>
      <c r="J514" s="86"/>
      <c r="K514" s="86"/>
      <c r="L514" s="24"/>
      <c r="M514" s="24"/>
    </row>
    <row r="515" spans="1:13" ht="12">
      <c r="A515" s="5">
        <v>16</v>
      </c>
      <c r="E515" s="5">
        <v>16</v>
      </c>
      <c r="G515" s="24"/>
      <c r="H515" s="24"/>
      <c r="I515" s="24"/>
      <c r="J515" s="86"/>
      <c r="K515" s="86"/>
      <c r="L515" s="24"/>
      <c r="M515" s="24"/>
    </row>
    <row r="516" spans="1:13" ht="12">
      <c r="A516" s="5">
        <v>17</v>
      </c>
      <c r="E516" s="5">
        <v>17</v>
      </c>
      <c r="G516" s="24"/>
      <c r="H516" s="24"/>
      <c r="I516" s="24"/>
      <c r="J516" s="86"/>
      <c r="K516" s="86"/>
      <c r="L516" s="24"/>
      <c r="M516" s="24"/>
    </row>
    <row r="517" spans="1:13" ht="12">
      <c r="A517" s="5">
        <v>18</v>
      </c>
      <c r="E517" s="5">
        <v>18</v>
      </c>
      <c r="G517" s="24"/>
      <c r="H517" s="24"/>
      <c r="I517" s="24"/>
      <c r="J517" s="86"/>
      <c r="K517" s="86"/>
      <c r="L517" s="24"/>
      <c r="M517" s="24"/>
    </row>
    <row r="518" spans="1:13" ht="12">
      <c r="A518" s="5">
        <v>22</v>
      </c>
      <c r="E518" s="5">
        <v>22</v>
      </c>
      <c r="G518" s="24"/>
      <c r="H518" s="24"/>
      <c r="I518" s="24"/>
      <c r="J518" s="86"/>
      <c r="K518" s="86"/>
      <c r="L518" s="24"/>
      <c r="M518" s="24"/>
    </row>
    <row r="519" spans="1:5" ht="12">
      <c r="A519" s="5">
        <v>23</v>
      </c>
      <c r="E519" s="5">
        <v>23</v>
      </c>
    </row>
    <row r="520" spans="1:5" ht="12">
      <c r="A520" s="5">
        <v>24</v>
      </c>
      <c r="E520" s="5">
        <v>24</v>
      </c>
    </row>
    <row r="521" spans="7:13" ht="12">
      <c r="G521" s="24" t="s">
        <v>1</v>
      </c>
      <c r="H521" s="24" t="s">
        <v>1</v>
      </c>
      <c r="I521" s="24" t="s">
        <v>1</v>
      </c>
      <c r="J521" s="24" t="s">
        <v>1</v>
      </c>
      <c r="K521" s="24"/>
      <c r="L521" s="24" t="s">
        <v>1</v>
      </c>
      <c r="M521" s="24" t="s">
        <v>1</v>
      </c>
    </row>
    <row r="522" spans="1:13" ht="16.5" customHeight="1">
      <c r="A522" s="5">
        <v>25</v>
      </c>
      <c r="C522" s="5" t="s">
        <v>416</v>
      </c>
      <c r="E522" s="5">
        <v>25</v>
      </c>
      <c r="G522" s="24"/>
      <c r="H522" s="24"/>
      <c r="I522" s="24"/>
      <c r="J522" s="86">
        <f>J502</f>
        <v>2871255</v>
      </c>
      <c r="K522" s="86"/>
      <c r="L522" s="24"/>
      <c r="M522" s="86">
        <f>M502</f>
        <v>5465490</v>
      </c>
    </row>
    <row r="523" spans="1:13" ht="16.5" customHeight="1">
      <c r="A523" s="5" t="s">
        <v>611</v>
      </c>
      <c r="G523" s="24" t="s">
        <v>1</v>
      </c>
      <c r="H523" s="24" t="s">
        <v>1</v>
      </c>
      <c r="I523" s="24" t="s">
        <v>1</v>
      </c>
      <c r="J523" s="24" t="s">
        <v>1</v>
      </c>
      <c r="K523" s="24"/>
      <c r="L523" s="24" t="s">
        <v>1</v>
      </c>
      <c r="M523" s="24" t="s">
        <v>1</v>
      </c>
    </row>
    <row r="524" ht="16.5" customHeight="1"/>
    <row r="525" spans="1:13" ht="12">
      <c r="A525" s="68" t="s">
        <v>344</v>
      </c>
      <c r="B525" s="68"/>
      <c r="E525" s="38"/>
      <c r="F525" s="38"/>
      <c r="G525" s="71"/>
      <c r="H525" s="86"/>
      <c r="I525" s="71"/>
      <c r="J525" s="86"/>
      <c r="K525" s="86"/>
      <c r="L525" s="71"/>
      <c r="M525" s="189" t="s">
        <v>89</v>
      </c>
    </row>
    <row r="526" spans="1:13" ht="12">
      <c r="A526" s="429" t="s">
        <v>242</v>
      </c>
      <c r="B526" s="429"/>
      <c r="C526" s="429"/>
      <c r="D526" s="429"/>
      <c r="E526" s="429"/>
      <c r="F526" s="429"/>
      <c r="G526" s="429"/>
      <c r="H526" s="429"/>
      <c r="I526" s="429"/>
      <c r="J526" s="429"/>
      <c r="K526" s="429"/>
      <c r="L526" s="429"/>
      <c r="M526" s="429"/>
    </row>
    <row r="527" spans="1:13" ht="12">
      <c r="A527" s="68" t="s">
        <v>345</v>
      </c>
      <c r="B527" s="68"/>
      <c r="G527" s="224"/>
      <c r="J527" s="86"/>
      <c r="K527" s="86"/>
      <c r="L527" s="71"/>
      <c r="M527" s="190" t="s">
        <v>417</v>
      </c>
    </row>
    <row r="528" spans="1:13" ht="12">
      <c r="A528" s="15" t="s">
        <v>1</v>
      </c>
      <c r="B528" s="15"/>
      <c r="C528" s="15" t="s">
        <v>1</v>
      </c>
      <c r="D528" s="15" t="s">
        <v>1</v>
      </c>
      <c r="E528" s="15" t="s">
        <v>1</v>
      </c>
      <c r="F528" s="15"/>
      <c r="G528" s="15" t="s">
        <v>1</v>
      </c>
      <c r="H528" s="15" t="s">
        <v>1</v>
      </c>
      <c r="I528" s="15" t="s">
        <v>1</v>
      </c>
      <c r="J528" s="15" t="s">
        <v>1</v>
      </c>
      <c r="K528" s="15"/>
      <c r="L528" s="15" t="s">
        <v>1</v>
      </c>
      <c r="M528" s="15" t="s">
        <v>1</v>
      </c>
    </row>
    <row r="529" spans="1:13" ht="12">
      <c r="A529" s="73" t="s">
        <v>2</v>
      </c>
      <c r="B529" s="73"/>
      <c r="E529" s="73" t="s">
        <v>2</v>
      </c>
      <c r="F529" s="73"/>
      <c r="G529" s="123"/>
      <c r="H529" s="123" t="s">
        <v>172</v>
      </c>
      <c r="I529" s="175"/>
      <c r="J529" s="123" t="s">
        <v>280</v>
      </c>
      <c r="K529" s="123"/>
      <c r="L529" s="89"/>
      <c r="M529" s="123" t="s">
        <v>289</v>
      </c>
    </row>
    <row r="530" spans="1:13" ht="12">
      <c r="A530" s="73" t="s">
        <v>4</v>
      </c>
      <c r="B530" s="73"/>
      <c r="C530" s="74" t="s">
        <v>20</v>
      </c>
      <c r="E530" s="73" t="s">
        <v>4</v>
      </c>
      <c r="F530" s="73"/>
      <c r="G530" s="178"/>
      <c r="H530" s="123" t="s">
        <v>7</v>
      </c>
      <c r="I530" s="178"/>
      <c r="J530" s="123" t="s">
        <v>7</v>
      </c>
      <c r="K530" s="123"/>
      <c r="L530" s="178"/>
      <c r="M530" s="123" t="s">
        <v>8</v>
      </c>
    </row>
    <row r="531" spans="1:13" ht="12">
      <c r="A531" s="15" t="s">
        <v>1</v>
      </c>
      <c r="B531" s="15"/>
      <c r="C531" s="15" t="s">
        <v>1</v>
      </c>
      <c r="D531" s="15" t="s">
        <v>1</v>
      </c>
      <c r="E531" s="15" t="s">
        <v>1</v>
      </c>
      <c r="F531" s="15"/>
      <c r="G531" s="15" t="s">
        <v>1</v>
      </c>
      <c r="H531" s="15" t="s">
        <v>1</v>
      </c>
      <c r="I531" s="15" t="s">
        <v>1</v>
      </c>
      <c r="J531" s="15" t="s">
        <v>1</v>
      </c>
      <c r="K531" s="15"/>
      <c r="L531" s="15" t="s">
        <v>1</v>
      </c>
      <c r="M531" s="176" t="s">
        <v>1</v>
      </c>
    </row>
    <row r="532" spans="1:13" ht="12">
      <c r="A532" s="107">
        <v>1</v>
      </c>
      <c r="B532" s="107"/>
      <c r="C532" s="4" t="s">
        <v>418</v>
      </c>
      <c r="E532" s="107">
        <v>1</v>
      </c>
      <c r="F532" s="107"/>
      <c r="G532" s="89"/>
      <c r="H532" s="179"/>
      <c r="I532" s="180"/>
      <c r="L532" s="180"/>
      <c r="M532" s="179"/>
    </row>
    <row r="533" spans="1:13" ht="12">
      <c r="A533" s="107">
        <f aca="true" t="shared" si="26" ref="A533:A555">(A532+1)</f>
        <v>2</v>
      </c>
      <c r="B533" s="107"/>
      <c r="C533" s="5" t="s">
        <v>612</v>
      </c>
      <c r="E533" s="107">
        <f aca="true" t="shared" si="27" ref="E533:E555">(E532+1)</f>
        <v>2</v>
      </c>
      <c r="F533" s="107"/>
      <c r="G533" s="89"/>
      <c r="H533" s="179">
        <f>37940212</f>
        <v>37940212</v>
      </c>
      <c r="I533" s="180"/>
      <c r="J533" s="179"/>
      <c r="K533" s="179"/>
      <c r="L533" s="180"/>
      <c r="M533" s="179"/>
    </row>
    <row r="534" spans="1:13" ht="12">
      <c r="A534" s="107">
        <f t="shared" si="26"/>
        <v>3</v>
      </c>
      <c r="B534" s="107"/>
      <c r="C534" s="5" t="s">
        <v>613</v>
      </c>
      <c r="E534" s="107">
        <f t="shared" si="27"/>
        <v>3</v>
      </c>
      <c r="F534" s="107"/>
      <c r="G534" s="89"/>
      <c r="H534" s="179"/>
      <c r="I534" s="180"/>
      <c r="J534" s="179">
        <f>40614978</f>
        <v>40614978</v>
      </c>
      <c r="K534" s="179"/>
      <c r="L534" s="180"/>
      <c r="M534" s="179"/>
    </row>
    <row r="535" spans="1:13" ht="12">
      <c r="A535" s="107">
        <f t="shared" si="26"/>
        <v>4</v>
      </c>
      <c r="B535" s="107"/>
      <c r="C535" s="5" t="s">
        <v>614</v>
      </c>
      <c r="E535" s="107">
        <f t="shared" si="27"/>
        <v>4</v>
      </c>
      <c r="F535" s="107"/>
      <c r="G535" s="89"/>
      <c r="H535" s="179"/>
      <c r="I535" s="180"/>
      <c r="J535" s="179"/>
      <c r="K535" s="179"/>
      <c r="L535" s="180"/>
      <c r="M535" s="179">
        <f>43448243-663155</f>
        <v>42785088</v>
      </c>
    </row>
    <row r="536" spans="1:12" ht="12">
      <c r="A536" s="107">
        <f t="shared" si="26"/>
        <v>5</v>
      </c>
      <c r="B536" s="107"/>
      <c r="E536" s="107">
        <f t="shared" si="27"/>
        <v>5</v>
      </c>
      <c r="F536" s="107"/>
      <c r="G536" s="89"/>
      <c r="H536" s="179"/>
      <c r="I536" s="180"/>
      <c r="J536" s="179"/>
      <c r="K536" s="179"/>
      <c r="L536" s="180"/>
    </row>
    <row r="537" spans="1:13" ht="12">
      <c r="A537" s="107">
        <f t="shared" si="26"/>
        <v>6</v>
      </c>
      <c r="B537" s="107"/>
      <c r="C537" s="27"/>
      <c r="E537" s="107">
        <f t="shared" si="27"/>
        <v>6</v>
      </c>
      <c r="F537" s="107"/>
      <c r="G537" s="89"/>
      <c r="H537" s="179"/>
      <c r="I537" s="180"/>
      <c r="J537" s="179"/>
      <c r="K537" s="179"/>
      <c r="L537" s="180"/>
      <c r="M537" s="179"/>
    </row>
    <row r="538" spans="1:13" ht="12">
      <c r="A538" s="107">
        <f t="shared" si="26"/>
        <v>7</v>
      </c>
      <c r="B538" s="107"/>
      <c r="C538" s="4" t="s">
        <v>419</v>
      </c>
      <c r="E538" s="107">
        <f t="shared" si="27"/>
        <v>7</v>
      </c>
      <c r="F538" s="107"/>
      <c r="G538" s="89"/>
      <c r="H538" s="179"/>
      <c r="I538" s="180"/>
      <c r="J538" s="179"/>
      <c r="K538" s="179"/>
      <c r="L538" s="180"/>
      <c r="M538" s="179"/>
    </row>
    <row r="539" spans="1:13" ht="12">
      <c r="A539" s="107">
        <f t="shared" si="26"/>
        <v>8</v>
      </c>
      <c r="B539" s="107"/>
      <c r="C539" s="27"/>
      <c r="E539" s="107">
        <f t="shared" si="27"/>
        <v>8</v>
      </c>
      <c r="F539" s="107"/>
      <c r="G539" s="89"/>
      <c r="H539" s="179"/>
      <c r="I539" s="180"/>
      <c r="J539" s="179"/>
      <c r="K539" s="179"/>
      <c r="L539" s="180"/>
      <c r="M539" s="179"/>
    </row>
    <row r="540" spans="1:13" ht="12">
      <c r="A540" s="107">
        <f t="shared" si="26"/>
        <v>9</v>
      </c>
      <c r="B540" s="107"/>
      <c r="E540" s="107">
        <f t="shared" si="27"/>
        <v>9</v>
      </c>
      <c r="F540" s="107"/>
      <c r="G540" s="89"/>
      <c r="H540" s="179"/>
      <c r="I540" s="180"/>
      <c r="J540" s="179"/>
      <c r="K540" s="179"/>
      <c r="L540" s="180"/>
      <c r="M540" s="179"/>
    </row>
    <row r="541" spans="1:13" ht="12">
      <c r="A541" s="107">
        <f t="shared" si="26"/>
        <v>10</v>
      </c>
      <c r="B541" s="107"/>
      <c r="E541" s="107">
        <f t="shared" si="27"/>
        <v>10</v>
      </c>
      <c r="F541" s="107"/>
      <c r="G541" s="89"/>
      <c r="H541" s="179"/>
      <c r="I541" s="180"/>
      <c r="L541" s="180"/>
      <c r="M541" s="179"/>
    </row>
    <row r="542" spans="1:13" ht="12">
      <c r="A542" s="107">
        <f t="shared" si="26"/>
        <v>11</v>
      </c>
      <c r="B542" s="107"/>
      <c r="E542" s="107">
        <f t="shared" si="27"/>
        <v>11</v>
      </c>
      <c r="F542" s="107"/>
      <c r="G542" s="89"/>
      <c r="H542" s="179"/>
      <c r="I542" s="180"/>
      <c r="L542" s="180"/>
      <c r="M542" s="179"/>
    </row>
    <row r="543" spans="1:13" ht="12">
      <c r="A543" s="107">
        <f t="shared" si="26"/>
        <v>12</v>
      </c>
      <c r="B543" s="107"/>
      <c r="E543" s="107">
        <f t="shared" si="27"/>
        <v>12</v>
      </c>
      <c r="F543" s="107"/>
      <c r="G543" s="89"/>
      <c r="I543" s="180"/>
      <c r="L543" s="180"/>
      <c r="M543" s="179"/>
    </row>
    <row r="544" spans="1:13" ht="12">
      <c r="A544" s="107">
        <f t="shared" si="26"/>
        <v>13</v>
      </c>
      <c r="B544" s="107"/>
      <c r="C544" s="27"/>
      <c r="E544" s="107">
        <f t="shared" si="27"/>
        <v>13</v>
      </c>
      <c r="F544" s="107"/>
      <c r="G544" s="89"/>
      <c r="H544" s="179"/>
      <c r="I544" s="180"/>
      <c r="J544" s="179"/>
      <c r="K544" s="179"/>
      <c r="L544" s="180"/>
      <c r="M544" s="179"/>
    </row>
    <row r="545" spans="1:13" ht="12">
      <c r="A545" s="107">
        <f t="shared" si="26"/>
        <v>14</v>
      </c>
      <c r="B545" s="107"/>
      <c r="C545" s="27" t="s">
        <v>420</v>
      </c>
      <c r="E545" s="107">
        <f t="shared" si="27"/>
        <v>14</v>
      </c>
      <c r="F545" s="107"/>
      <c r="G545" s="89"/>
      <c r="H545" s="179"/>
      <c r="I545" s="180"/>
      <c r="J545" s="179"/>
      <c r="K545" s="179"/>
      <c r="L545" s="180"/>
      <c r="M545" s="179"/>
    </row>
    <row r="546" spans="1:13" ht="12">
      <c r="A546" s="107">
        <f t="shared" si="26"/>
        <v>15</v>
      </c>
      <c r="B546" s="107"/>
      <c r="C546" s="27"/>
      <c r="E546" s="107">
        <f t="shared" si="27"/>
        <v>15</v>
      </c>
      <c r="F546" s="107"/>
      <c r="G546" s="89"/>
      <c r="H546" s="179"/>
      <c r="I546" s="180"/>
      <c r="J546" s="179"/>
      <c r="K546" s="179"/>
      <c r="L546" s="180"/>
      <c r="M546" s="179"/>
    </row>
    <row r="547" spans="1:13" ht="12">
      <c r="A547" s="107">
        <f t="shared" si="26"/>
        <v>16</v>
      </c>
      <c r="B547" s="107"/>
      <c r="C547" s="27"/>
      <c r="E547" s="107">
        <f t="shared" si="27"/>
        <v>16</v>
      </c>
      <c r="F547" s="107"/>
      <c r="G547" s="89"/>
      <c r="H547" s="179"/>
      <c r="I547" s="180"/>
      <c r="J547" s="179"/>
      <c r="K547" s="179"/>
      <c r="L547" s="180"/>
      <c r="M547" s="179"/>
    </row>
    <row r="548" spans="1:13" ht="12">
      <c r="A548" s="107">
        <f t="shared" si="26"/>
        <v>17</v>
      </c>
      <c r="B548" s="107"/>
      <c r="C548" s="27"/>
      <c r="E548" s="107">
        <f t="shared" si="27"/>
        <v>17</v>
      </c>
      <c r="F548" s="107"/>
      <c r="G548" s="89"/>
      <c r="H548" s="179"/>
      <c r="I548" s="180"/>
      <c r="J548" s="179"/>
      <c r="K548" s="179"/>
      <c r="L548" s="180"/>
      <c r="M548" s="179"/>
    </row>
    <row r="549" spans="1:13" ht="12">
      <c r="A549" s="107">
        <f t="shared" si="26"/>
        <v>18</v>
      </c>
      <c r="B549" s="107"/>
      <c r="C549" s="27"/>
      <c r="E549" s="107">
        <f t="shared" si="27"/>
        <v>18</v>
      </c>
      <c r="F549" s="107"/>
      <c r="G549" s="89"/>
      <c r="H549" s="179"/>
      <c r="I549" s="180"/>
      <c r="J549" s="179"/>
      <c r="K549" s="179"/>
      <c r="L549" s="180"/>
      <c r="M549" s="179"/>
    </row>
    <row r="550" spans="1:13" ht="12">
      <c r="A550" s="107">
        <f t="shared" si="26"/>
        <v>19</v>
      </c>
      <c r="B550" s="107"/>
      <c r="C550" s="27"/>
      <c r="E550" s="107">
        <f t="shared" si="27"/>
        <v>19</v>
      </c>
      <c r="F550" s="107"/>
      <c r="G550" s="89"/>
      <c r="H550" s="179"/>
      <c r="I550" s="180"/>
      <c r="J550" s="179"/>
      <c r="K550" s="179"/>
      <c r="L550" s="180"/>
      <c r="M550" s="179"/>
    </row>
    <row r="551" spans="1:13" ht="12">
      <c r="A551" s="107">
        <f t="shared" si="26"/>
        <v>20</v>
      </c>
      <c r="B551" s="107"/>
      <c r="C551" s="27"/>
      <c r="E551" s="107">
        <f t="shared" si="27"/>
        <v>20</v>
      </c>
      <c r="F551" s="107"/>
      <c r="G551" s="89"/>
      <c r="H551" s="179"/>
      <c r="I551" s="180"/>
      <c r="J551" s="179"/>
      <c r="K551" s="179"/>
      <c r="L551" s="180"/>
      <c r="M551" s="179"/>
    </row>
    <row r="552" spans="1:13" ht="12">
      <c r="A552" s="107">
        <f t="shared" si="26"/>
        <v>21</v>
      </c>
      <c r="B552" s="107"/>
      <c r="C552" s="27"/>
      <c r="E552" s="107">
        <f t="shared" si="27"/>
        <v>21</v>
      </c>
      <c r="F552" s="107"/>
      <c r="G552" s="89"/>
      <c r="H552" s="179"/>
      <c r="I552" s="180"/>
      <c r="J552" s="179"/>
      <c r="K552" s="179"/>
      <c r="L552" s="180"/>
      <c r="M552" s="179"/>
    </row>
    <row r="553" spans="1:13" ht="12">
      <c r="A553" s="107">
        <f t="shared" si="26"/>
        <v>22</v>
      </c>
      <c r="B553" s="107"/>
      <c r="C553" s="27"/>
      <c r="E553" s="107">
        <f t="shared" si="27"/>
        <v>22</v>
      </c>
      <c r="F553" s="107"/>
      <c r="G553" s="89"/>
      <c r="H553" s="179"/>
      <c r="I553" s="180"/>
      <c r="J553" s="179"/>
      <c r="K553" s="179"/>
      <c r="L553" s="180"/>
      <c r="M553" s="179"/>
    </row>
    <row r="554" spans="1:13" ht="12">
      <c r="A554" s="107">
        <f t="shared" si="26"/>
        <v>23</v>
      </c>
      <c r="B554" s="107"/>
      <c r="C554" s="27"/>
      <c r="E554" s="107">
        <f t="shared" si="27"/>
        <v>23</v>
      </c>
      <c r="F554" s="107"/>
      <c r="G554" s="89"/>
      <c r="H554" s="179"/>
      <c r="I554" s="180"/>
      <c r="J554" s="179"/>
      <c r="K554" s="179"/>
      <c r="L554" s="180"/>
      <c r="M554" s="179"/>
    </row>
    <row r="555" spans="1:13" ht="12">
      <c r="A555" s="107">
        <f t="shared" si="26"/>
        <v>24</v>
      </c>
      <c r="B555" s="107"/>
      <c r="C555" s="27"/>
      <c r="E555" s="107">
        <f t="shared" si="27"/>
        <v>24</v>
      </c>
      <c r="F555" s="107"/>
      <c r="G555" s="89"/>
      <c r="H555" s="179"/>
      <c r="I555" s="180"/>
      <c r="J555" s="179"/>
      <c r="K555" s="179"/>
      <c r="L555" s="180"/>
      <c r="M555" s="179"/>
    </row>
    <row r="556" spans="1:13" ht="12">
      <c r="A556" s="108"/>
      <c r="B556" s="108"/>
      <c r="E556" s="108"/>
      <c r="F556" s="108"/>
      <c r="G556" s="24" t="s">
        <v>1</v>
      </c>
      <c r="H556" s="24" t="s">
        <v>1</v>
      </c>
      <c r="I556" s="24" t="s">
        <v>1</v>
      </c>
      <c r="J556" s="24" t="s">
        <v>1</v>
      </c>
      <c r="K556" s="24"/>
      <c r="L556" s="24" t="s">
        <v>1</v>
      </c>
      <c r="M556" s="24" t="s">
        <v>1</v>
      </c>
    </row>
    <row r="557" spans="1:13" ht="12">
      <c r="A557" s="107">
        <f>(A555+1)</f>
        <v>25</v>
      </c>
      <c r="B557" s="107"/>
      <c r="C557" s="4" t="s">
        <v>197</v>
      </c>
      <c r="E557" s="107">
        <f>(E555+1)</f>
        <v>25</v>
      </c>
      <c r="F557" s="107"/>
      <c r="G557" s="89"/>
      <c r="H557" s="86">
        <f>SUM(H533:H555)</f>
        <v>37940212</v>
      </c>
      <c r="I557" s="89"/>
      <c r="J557" s="86">
        <f>SUM(J533:J555)</f>
        <v>40614978</v>
      </c>
      <c r="K557" s="86"/>
      <c r="L557" s="89"/>
      <c r="M557" s="86">
        <f>SUM(M533:M555)</f>
        <v>42785088</v>
      </c>
    </row>
    <row r="558" spans="1:13" ht="12">
      <c r="A558" s="107"/>
      <c r="B558" s="107"/>
      <c r="C558" s="4"/>
      <c r="E558" s="107"/>
      <c r="F558" s="107"/>
      <c r="G558" s="24" t="s">
        <v>1</v>
      </c>
      <c r="H558" s="24" t="s">
        <v>1</v>
      </c>
      <c r="I558" s="24" t="s">
        <v>1</v>
      </c>
      <c r="J558" s="24" t="s">
        <v>1</v>
      </c>
      <c r="K558" s="24"/>
      <c r="L558" s="24" t="s">
        <v>1</v>
      </c>
      <c r="M558" s="24" t="s">
        <v>1</v>
      </c>
    </row>
    <row r="559" spans="1:13" ht="12">
      <c r="A559" s="107"/>
      <c r="B559" s="107"/>
      <c r="C559" s="4"/>
      <c r="E559" s="107"/>
      <c r="F559" s="107"/>
      <c r="G559" s="24"/>
      <c r="H559" s="24"/>
      <c r="I559" s="24"/>
      <c r="J559" s="24"/>
      <c r="K559" s="24"/>
      <c r="L559" s="24"/>
      <c r="M559" s="24"/>
    </row>
    <row r="560" spans="1:13" ht="12">
      <c r="A560" s="107"/>
      <c r="B560" s="107"/>
      <c r="C560" s="4"/>
      <c r="E560" s="107"/>
      <c r="F560" s="107"/>
      <c r="G560" s="24"/>
      <c r="H560" s="24"/>
      <c r="I560" s="24"/>
      <c r="J560" s="24"/>
      <c r="K560" s="24"/>
      <c r="L560" s="24"/>
      <c r="M560" s="24"/>
    </row>
    <row r="561" spans="5:6" ht="12">
      <c r="E561" s="38"/>
      <c r="F561" s="38"/>
    </row>
    <row r="562" spans="1:13" ht="12">
      <c r="A562" s="68" t="s">
        <v>344</v>
      </c>
      <c r="B562" s="68"/>
      <c r="E562" s="38"/>
      <c r="F562" s="38"/>
      <c r="G562" s="71"/>
      <c r="H562" s="86"/>
      <c r="I562" s="71"/>
      <c r="J562" s="86"/>
      <c r="K562" s="86"/>
      <c r="L562" s="71"/>
      <c r="M562" s="189" t="s">
        <v>198</v>
      </c>
    </row>
    <row r="563" spans="1:13" ht="12">
      <c r="A563" s="429" t="s">
        <v>421</v>
      </c>
      <c r="B563" s="429"/>
      <c r="C563" s="429"/>
      <c r="D563" s="429"/>
      <c r="E563" s="429"/>
      <c r="F563" s="429"/>
      <c r="G563" s="429"/>
      <c r="H563" s="429"/>
      <c r="I563" s="429"/>
      <c r="J563" s="429"/>
      <c r="K563" s="429"/>
      <c r="L563" s="429"/>
      <c r="M563" s="429"/>
    </row>
    <row r="564" spans="1:13" ht="12">
      <c r="A564" s="68" t="s">
        <v>345</v>
      </c>
      <c r="B564" s="68"/>
      <c r="G564" s="224"/>
      <c r="J564" s="86"/>
      <c r="K564" s="86"/>
      <c r="L564" s="71"/>
      <c r="M564" s="190" t="s">
        <v>417</v>
      </c>
    </row>
    <row r="565" spans="1:13" ht="12">
      <c r="A565" s="15" t="s">
        <v>1</v>
      </c>
      <c r="B565" s="15"/>
      <c r="C565" s="15" t="s">
        <v>1</v>
      </c>
      <c r="D565" s="15" t="s">
        <v>1</v>
      </c>
      <c r="E565" s="15" t="s">
        <v>1</v>
      </c>
      <c r="F565" s="15"/>
      <c r="G565" s="15" t="s">
        <v>1</v>
      </c>
      <c r="H565" s="15" t="s">
        <v>1</v>
      </c>
      <c r="I565" s="15" t="s">
        <v>1</v>
      </c>
      <c r="J565" s="15" t="s">
        <v>1</v>
      </c>
      <c r="K565" s="15"/>
      <c r="L565" s="15" t="s">
        <v>1</v>
      </c>
      <c r="M565" s="15" t="s">
        <v>1</v>
      </c>
    </row>
    <row r="566" spans="1:13" ht="12">
      <c r="A566" s="73" t="s">
        <v>2</v>
      </c>
      <c r="B566" s="73"/>
      <c r="E566" s="73" t="s">
        <v>2</v>
      </c>
      <c r="F566" s="73"/>
      <c r="G566" s="123"/>
      <c r="H566" s="123" t="s">
        <v>172</v>
      </c>
      <c r="I566" s="175"/>
      <c r="J566" s="123" t="s">
        <v>280</v>
      </c>
      <c r="K566" s="123"/>
      <c r="L566" s="89"/>
      <c r="M566" s="123" t="s">
        <v>289</v>
      </c>
    </row>
    <row r="567" spans="1:13" ht="12">
      <c r="A567" s="73" t="s">
        <v>4</v>
      </c>
      <c r="B567" s="73"/>
      <c r="C567" s="74" t="s">
        <v>20</v>
      </c>
      <c r="E567" s="73" t="s">
        <v>4</v>
      </c>
      <c r="F567" s="73"/>
      <c r="G567" s="178"/>
      <c r="H567" s="123" t="s">
        <v>7</v>
      </c>
      <c r="I567" s="178"/>
      <c r="J567" s="123" t="s">
        <v>7</v>
      </c>
      <c r="K567" s="123"/>
      <c r="L567" s="178"/>
      <c r="M567" s="123" t="s">
        <v>8</v>
      </c>
    </row>
    <row r="568" spans="1:13" ht="12">
      <c r="A568" s="15" t="s">
        <v>1</v>
      </c>
      <c r="B568" s="15"/>
      <c r="C568" s="15" t="s">
        <v>1</v>
      </c>
      <c r="D568" s="15" t="s">
        <v>1</v>
      </c>
      <c r="E568" s="15" t="s">
        <v>1</v>
      </c>
      <c r="F568" s="15"/>
      <c r="G568" s="15" t="s">
        <v>1</v>
      </c>
      <c r="H568" s="15" t="s">
        <v>1</v>
      </c>
      <c r="I568" s="15" t="s">
        <v>1</v>
      </c>
      <c r="J568" s="15" t="s">
        <v>1</v>
      </c>
      <c r="K568" s="15"/>
      <c r="L568" s="15" t="s">
        <v>1</v>
      </c>
      <c r="M568" s="176" t="s">
        <v>1</v>
      </c>
    </row>
    <row r="569" spans="1:6" ht="12">
      <c r="A569" s="5">
        <v>1</v>
      </c>
      <c r="C569" s="5" t="s">
        <v>615</v>
      </c>
      <c r="E569" s="38">
        <v>1</v>
      </c>
      <c r="F569" s="38"/>
    </row>
    <row r="570" spans="1:13" ht="12">
      <c r="A570" s="5">
        <v>2</v>
      </c>
      <c r="E570" s="38">
        <v>2</v>
      </c>
      <c r="F570" s="38"/>
      <c r="H570" s="17">
        <f>22614603.61</f>
        <v>22614603.61</v>
      </c>
      <c r="J570" s="17">
        <f>31216968</f>
        <v>31216968</v>
      </c>
      <c r="K570" s="17"/>
      <c r="M570" s="17">
        <f>35971128+663155</f>
        <v>36634283</v>
      </c>
    </row>
    <row r="571" spans="1:13" ht="12">
      <c r="A571" s="5">
        <v>3</v>
      </c>
      <c r="E571" s="38">
        <v>3</v>
      </c>
      <c r="F571" s="38"/>
      <c r="M571" s="17"/>
    </row>
    <row r="572" spans="1:13" ht="12">
      <c r="A572" s="5">
        <v>4</v>
      </c>
      <c r="E572" s="38">
        <v>4</v>
      </c>
      <c r="F572" s="38"/>
      <c r="M572" s="17"/>
    </row>
    <row r="573" spans="1:13" ht="12">
      <c r="A573" s="5">
        <v>5</v>
      </c>
      <c r="E573" s="38">
        <v>5</v>
      </c>
      <c r="F573" s="38"/>
      <c r="M573" s="17"/>
    </row>
    <row r="574" spans="1:13" ht="12">
      <c r="A574" s="5">
        <v>6</v>
      </c>
      <c r="E574" s="38">
        <v>6</v>
      </c>
      <c r="F574" s="38"/>
      <c r="M574" s="17"/>
    </row>
    <row r="575" spans="1:13" ht="12">
      <c r="A575" s="5">
        <v>7</v>
      </c>
      <c r="E575" s="38">
        <v>7</v>
      </c>
      <c r="F575" s="38"/>
      <c r="M575" s="17"/>
    </row>
    <row r="576" spans="1:13" ht="12">
      <c r="A576" s="5">
        <v>8</v>
      </c>
      <c r="E576" s="38">
        <v>8</v>
      </c>
      <c r="F576" s="38"/>
      <c r="M576" s="17"/>
    </row>
    <row r="577" spans="1:13" ht="12">
      <c r="A577" s="5">
        <v>9</v>
      </c>
      <c r="E577" s="38">
        <v>9</v>
      </c>
      <c r="F577" s="38"/>
      <c r="M577" s="17"/>
    </row>
    <row r="578" spans="1:13" ht="12">
      <c r="A578" s="5">
        <v>10</v>
      </c>
      <c r="E578" s="38">
        <v>10</v>
      </c>
      <c r="F578" s="38"/>
      <c r="M578" s="17"/>
    </row>
    <row r="579" spans="1:13" ht="12">
      <c r="A579" s="5">
        <v>11</v>
      </c>
      <c r="E579" s="38">
        <v>11</v>
      </c>
      <c r="F579" s="38"/>
      <c r="M579" s="17"/>
    </row>
    <row r="580" spans="1:13" ht="12">
      <c r="A580" s="5">
        <v>12</v>
      </c>
      <c r="E580" s="38">
        <v>12</v>
      </c>
      <c r="F580" s="38"/>
      <c r="M580" s="17"/>
    </row>
    <row r="581" spans="1:13" ht="12">
      <c r="A581" s="5">
        <v>13</v>
      </c>
      <c r="E581" s="38">
        <v>13</v>
      </c>
      <c r="F581" s="38"/>
      <c r="M581" s="17"/>
    </row>
    <row r="582" spans="1:13" ht="12">
      <c r="A582" s="5">
        <v>14</v>
      </c>
      <c r="E582" s="38">
        <v>14</v>
      </c>
      <c r="F582" s="38"/>
      <c r="M582" s="17"/>
    </row>
    <row r="583" spans="1:13" ht="12">
      <c r="A583" s="5">
        <v>15</v>
      </c>
      <c r="E583" s="38">
        <v>15</v>
      </c>
      <c r="F583" s="38"/>
      <c r="M583" s="17"/>
    </row>
    <row r="584" spans="1:13" ht="12">
      <c r="A584" s="5">
        <v>16</v>
      </c>
      <c r="E584" s="38">
        <v>16</v>
      </c>
      <c r="F584" s="38"/>
      <c r="M584" s="17"/>
    </row>
    <row r="585" spans="1:13" ht="12">
      <c r="A585" s="5">
        <v>17</v>
      </c>
      <c r="E585" s="38">
        <v>17</v>
      </c>
      <c r="F585" s="38"/>
      <c r="M585" s="17"/>
    </row>
    <row r="586" spans="1:13" ht="12">
      <c r="A586" s="5">
        <v>18</v>
      </c>
      <c r="E586" s="38">
        <v>18</v>
      </c>
      <c r="F586" s="38"/>
      <c r="M586" s="17"/>
    </row>
    <row r="587" spans="1:13" ht="12">
      <c r="A587" s="5">
        <v>19</v>
      </c>
      <c r="E587" s="38">
        <v>19</v>
      </c>
      <c r="F587" s="38"/>
      <c r="M587" s="17"/>
    </row>
    <row r="588" spans="1:13" ht="12">
      <c r="A588" s="5">
        <v>20</v>
      </c>
      <c r="E588" s="38">
        <v>20</v>
      </c>
      <c r="F588" s="38"/>
      <c r="M588" s="17"/>
    </row>
    <row r="589" spans="1:13" ht="12">
      <c r="A589" s="5">
        <v>21</v>
      </c>
      <c r="E589" s="38">
        <v>21</v>
      </c>
      <c r="F589" s="38"/>
      <c r="M589" s="17"/>
    </row>
    <row r="590" spans="1:13" ht="12">
      <c r="A590" s="5">
        <v>22</v>
      </c>
      <c r="E590" s="38">
        <v>22</v>
      </c>
      <c r="F590" s="38"/>
      <c r="M590" s="17"/>
    </row>
    <row r="591" spans="1:13" ht="12">
      <c r="A591" s="5">
        <v>23</v>
      </c>
      <c r="E591" s="38">
        <v>23</v>
      </c>
      <c r="F591" s="38"/>
      <c r="M591" s="17"/>
    </row>
    <row r="592" spans="1:13" ht="12">
      <c r="A592" s="5">
        <v>24</v>
      </c>
      <c r="E592" s="38">
        <v>24</v>
      </c>
      <c r="F592" s="38"/>
      <c r="M592" s="17"/>
    </row>
    <row r="593" spans="5:13" ht="12">
      <c r="E593" s="38"/>
      <c r="F593" s="38"/>
      <c r="G593" s="24" t="s">
        <v>1</v>
      </c>
      <c r="H593" s="24" t="s">
        <v>1</v>
      </c>
      <c r="I593" s="24" t="s">
        <v>1</v>
      </c>
      <c r="J593" s="24" t="s">
        <v>1</v>
      </c>
      <c r="K593" s="24"/>
      <c r="L593" s="24" t="s">
        <v>1</v>
      </c>
      <c r="M593" s="19" t="s">
        <v>1</v>
      </c>
    </row>
    <row r="594" spans="1:13" ht="12">
      <c r="A594" s="5">
        <v>25</v>
      </c>
      <c r="C594" s="5" t="s">
        <v>422</v>
      </c>
      <c r="E594" s="38">
        <v>25</v>
      </c>
      <c r="F594" s="38"/>
      <c r="H594" s="17">
        <f>SUM(H569:H592)</f>
        <v>22614603.61</v>
      </c>
      <c r="J594" s="17">
        <f>SUM(J569:J592)</f>
        <v>31216968</v>
      </c>
      <c r="K594" s="17"/>
      <c r="M594" s="17">
        <f>SUM(M569:M592)</f>
        <v>36634283</v>
      </c>
    </row>
    <row r="595" spans="5:13" ht="12">
      <c r="E595" s="38"/>
      <c r="F595" s="38"/>
      <c r="G595" s="24" t="s">
        <v>1</v>
      </c>
      <c r="H595" s="24" t="s">
        <v>1</v>
      </c>
      <c r="I595" s="24" t="s">
        <v>1</v>
      </c>
      <c r="J595" s="24" t="s">
        <v>1</v>
      </c>
      <c r="K595" s="24"/>
      <c r="L595" s="24" t="s">
        <v>1</v>
      </c>
      <c r="M595" s="24" t="s">
        <v>1</v>
      </c>
    </row>
    <row r="596" spans="5:13" ht="12">
      <c r="E596" s="38"/>
      <c r="F596" s="38"/>
      <c r="G596" s="24"/>
      <c r="H596" s="24"/>
      <c r="I596" s="24"/>
      <c r="J596" s="24"/>
      <c r="K596" s="24"/>
      <c r="L596" s="24"/>
      <c r="M596" s="24"/>
    </row>
    <row r="597" spans="5:13" ht="12">
      <c r="E597" s="38"/>
      <c r="F597" s="38"/>
      <c r="G597" s="24"/>
      <c r="H597" s="24"/>
      <c r="I597" s="24"/>
      <c r="J597" s="24"/>
      <c r="K597" s="24"/>
      <c r="L597" s="24"/>
      <c r="M597" s="24"/>
    </row>
    <row r="598" spans="5:13" ht="12">
      <c r="E598" s="38"/>
      <c r="F598" s="38"/>
      <c r="G598" s="24"/>
      <c r="H598" s="24"/>
      <c r="I598" s="24"/>
      <c r="J598" s="24"/>
      <c r="K598" s="24"/>
      <c r="L598" s="24"/>
      <c r="M598" s="24"/>
    </row>
    <row r="599" spans="5:13" ht="12">
      <c r="E599" s="38"/>
      <c r="F599" s="38"/>
      <c r="G599" s="71"/>
      <c r="H599" s="86"/>
      <c r="I599" s="71"/>
      <c r="J599" s="86"/>
      <c r="K599" s="86"/>
      <c r="L599" s="71"/>
      <c r="M599" s="86"/>
    </row>
    <row r="600" spans="1:13" ht="12">
      <c r="A600" s="68" t="s">
        <v>372</v>
      </c>
      <c r="B600" s="68"/>
      <c r="E600" s="38"/>
      <c r="F600" s="38"/>
      <c r="G600" s="71"/>
      <c r="H600" s="86"/>
      <c r="I600" s="71"/>
      <c r="J600" s="86"/>
      <c r="K600" s="86"/>
      <c r="L600" s="71"/>
      <c r="M600" s="189" t="s">
        <v>22</v>
      </c>
    </row>
    <row r="601" spans="1:13" ht="12">
      <c r="A601" s="428" t="s">
        <v>159</v>
      </c>
      <c r="B601" s="428"/>
      <c r="C601" s="428"/>
      <c r="D601" s="428"/>
      <c r="E601" s="428"/>
      <c r="F601" s="428"/>
      <c r="G601" s="428"/>
      <c r="H601" s="428"/>
      <c r="I601" s="428"/>
      <c r="J601" s="428"/>
      <c r="K601" s="428"/>
      <c r="L601" s="428"/>
      <c r="M601" s="428"/>
    </row>
    <row r="602" spans="1:13" ht="12">
      <c r="A602" s="68" t="s">
        <v>345</v>
      </c>
      <c r="B602" s="68"/>
      <c r="G602" s="71"/>
      <c r="H602" s="86"/>
      <c r="I602" s="7"/>
      <c r="J602" s="71"/>
      <c r="K602" s="71"/>
      <c r="L602" s="71"/>
      <c r="M602" s="190" t="s">
        <v>346</v>
      </c>
    </row>
    <row r="603" spans="1:13" ht="12">
      <c r="A603" s="15" t="s">
        <v>1</v>
      </c>
      <c r="B603" s="15"/>
      <c r="C603" s="15" t="s">
        <v>1</v>
      </c>
      <c r="D603" s="15" t="s">
        <v>1</v>
      </c>
      <c r="E603" s="15" t="s">
        <v>1</v>
      </c>
      <c r="F603" s="15"/>
      <c r="G603" s="15" t="s">
        <v>1</v>
      </c>
      <c r="H603" s="15" t="s">
        <v>1</v>
      </c>
      <c r="I603" s="15" t="s">
        <v>1</v>
      </c>
      <c r="J603" s="15" t="s">
        <v>1</v>
      </c>
      <c r="K603" s="15"/>
      <c r="L603" s="15" t="s">
        <v>1</v>
      </c>
      <c r="M603" s="15" t="s">
        <v>1</v>
      </c>
    </row>
    <row r="604" spans="1:13" ht="12">
      <c r="A604" s="73" t="s">
        <v>2</v>
      </c>
      <c r="B604" s="73"/>
      <c r="E604" s="73" t="s">
        <v>2</v>
      </c>
      <c r="F604" s="73"/>
      <c r="G604" s="178"/>
      <c r="H604" s="123" t="s">
        <v>172</v>
      </c>
      <c r="I604" s="175"/>
      <c r="J604" s="123" t="s">
        <v>280</v>
      </c>
      <c r="K604" s="123"/>
      <c r="L604" s="89"/>
      <c r="M604" s="123" t="s">
        <v>289</v>
      </c>
    </row>
    <row r="605" spans="1:13" ht="12">
      <c r="A605" s="73" t="s">
        <v>4</v>
      </c>
      <c r="B605" s="73"/>
      <c r="C605" s="74" t="s">
        <v>20</v>
      </c>
      <c r="E605" s="73" t="s">
        <v>4</v>
      </c>
      <c r="F605" s="73"/>
      <c r="G605" s="178" t="s">
        <v>6</v>
      </c>
      <c r="H605" s="123" t="s">
        <v>7</v>
      </c>
      <c r="I605" s="178" t="s">
        <v>6</v>
      </c>
      <c r="J605" s="123" t="s">
        <v>7</v>
      </c>
      <c r="K605" s="123"/>
      <c r="L605" s="178" t="s">
        <v>6</v>
      </c>
      <c r="M605" s="123" t="s">
        <v>8</v>
      </c>
    </row>
    <row r="606" spans="1:13" ht="12">
      <c r="A606" s="15" t="s">
        <v>1</v>
      </c>
      <c r="B606" s="15"/>
      <c r="C606" s="15" t="s">
        <v>1</v>
      </c>
      <c r="D606" s="15" t="s">
        <v>1</v>
      </c>
      <c r="E606" s="15" t="s">
        <v>1</v>
      </c>
      <c r="F606" s="15"/>
      <c r="G606" s="15" t="s">
        <v>1</v>
      </c>
      <c r="H606" s="15" t="s">
        <v>1</v>
      </c>
      <c r="I606" s="15" t="s">
        <v>1</v>
      </c>
      <c r="J606" s="15" t="s">
        <v>1</v>
      </c>
      <c r="K606" s="15"/>
      <c r="L606" s="15" t="s">
        <v>1</v>
      </c>
      <c r="M606" s="176" t="s">
        <v>1</v>
      </c>
    </row>
    <row r="607" spans="1:13" ht="12">
      <c r="A607" s="41">
        <v>1</v>
      </c>
      <c r="B607" s="41"/>
      <c r="C607" s="4" t="s">
        <v>423</v>
      </c>
      <c r="E607" s="41">
        <v>1</v>
      </c>
      <c r="F607" s="41"/>
      <c r="G607" s="180">
        <f>1267.6</f>
        <v>1267.6</v>
      </c>
      <c r="H607" s="179">
        <f>102781504.62</f>
        <v>102781504.62</v>
      </c>
      <c r="I607" s="180">
        <f>1293.5</f>
        <v>1293.5</v>
      </c>
      <c r="J607" s="179">
        <f>110581635.9</f>
        <v>110581635.9</v>
      </c>
      <c r="K607" s="179"/>
      <c r="L607" s="180">
        <f>1333.3</f>
        <v>1333.3</v>
      </c>
      <c r="M607" s="179">
        <f>119790444</f>
        <v>119790444</v>
      </c>
    </row>
    <row r="608" spans="1:13" ht="12">
      <c r="A608" s="41">
        <v>2</v>
      </c>
      <c r="B608" s="41"/>
      <c r="C608" s="4" t="s">
        <v>424</v>
      </c>
      <c r="E608" s="41">
        <v>2</v>
      </c>
      <c r="F608" s="41"/>
      <c r="G608" s="180"/>
      <c r="H608" s="179">
        <f>23912358.65</f>
        <v>23912358.65</v>
      </c>
      <c r="I608" s="180"/>
      <c r="J608" s="179">
        <f>25711599.58</f>
        <v>25711599.58</v>
      </c>
      <c r="K608" s="179"/>
      <c r="L608" s="180"/>
      <c r="M608" s="179">
        <f>32045548</f>
        <v>32045548</v>
      </c>
    </row>
    <row r="609" spans="1:13" ht="12">
      <c r="A609" s="41">
        <v>3</v>
      </c>
      <c r="B609" s="41"/>
      <c r="C609" s="4" t="s">
        <v>425</v>
      </c>
      <c r="E609" s="41">
        <v>3</v>
      </c>
      <c r="F609" s="41"/>
      <c r="G609" s="180">
        <f>391.8</f>
        <v>391.8</v>
      </c>
      <c r="H609" s="179">
        <f>13524240.52+9877685.42</f>
        <v>23401925.939999998</v>
      </c>
      <c r="I609" s="180">
        <f>405.7</f>
        <v>405.7</v>
      </c>
      <c r="J609" s="179">
        <f>14428851.57+11250958.51</f>
        <v>25679810.08</v>
      </c>
      <c r="K609" s="179"/>
      <c r="L609" s="180">
        <f>396.3</f>
        <v>396.3</v>
      </c>
      <c r="M609" s="179">
        <f>27514299</f>
        <v>27514299</v>
      </c>
    </row>
    <row r="610" spans="1:13" ht="12">
      <c r="A610" s="41">
        <v>4</v>
      </c>
      <c r="B610" s="41"/>
      <c r="C610" s="4" t="s">
        <v>426</v>
      </c>
      <c r="E610" s="41">
        <v>4</v>
      </c>
      <c r="F610" s="41"/>
      <c r="G610" s="89">
        <f>SUM(G607,G609)</f>
        <v>1659.3999999999999</v>
      </c>
      <c r="H610" s="86">
        <f>SUM(H607:H609)</f>
        <v>150095789.21</v>
      </c>
      <c r="I610" s="89">
        <f>SUM(I607,I609)</f>
        <v>1699.2</v>
      </c>
      <c r="J610" s="86">
        <f>SUM(J607:J609)</f>
        <v>161973045.56</v>
      </c>
      <c r="K610" s="86"/>
      <c r="L610" s="89">
        <f>SUM(L607,L609)</f>
        <v>1729.6</v>
      </c>
      <c r="M610" s="86">
        <f>SUM(M607:M609)</f>
        <v>179350291</v>
      </c>
    </row>
    <row r="611" spans="1:13" ht="12">
      <c r="A611" s="41">
        <v>5</v>
      </c>
      <c r="B611" s="41"/>
      <c r="E611" s="41">
        <v>5</v>
      </c>
      <c r="F611" s="41"/>
      <c r="G611" s="89"/>
      <c r="H611" s="86"/>
      <c r="I611" s="89"/>
      <c r="J611" s="86"/>
      <c r="K611" s="86"/>
      <c r="L611" s="182"/>
      <c r="M611" s="86"/>
    </row>
    <row r="612" spans="1:13" ht="12">
      <c r="A612" s="41">
        <v>6</v>
      </c>
      <c r="B612" s="41"/>
      <c r="C612" s="4" t="s">
        <v>24</v>
      </c>
      <c r="E612" s="41">
        <v>6</v>
      </c>
      <c r="F612" s="41"/>
      <c r="G612" s="180">
        <f>71.5</f>
        <v>71.5</v>
      </c>
      <c r="H612" s="179">
        <f>2519190.39+1839616.38</f>
        <v>4358806.77</v>
      </c>
      <c r="I612" s="180">
        <f>66.5</f>
        <v>66.5</v>
      </c>
      <c r="J612" s="179">
        <f>2413791.65+1881945.09</f>
        <v>4295736.74</v>
      </c>
      <c r="K612" s="179"/>
      <c r="L612" s="180">
        <f>65.8</f>
        <v>65.8</v>
      </c>
      <c r="M612" s="179">
        <f>4633231</f>
        <v>4633231</v>
      </c>
    </row>
    <row r="613" spans="1:13" ht="12">
      <c r="A613" s="41">
        <v>7</v>
      </c>
      <c r="B613" s="41"/>
      <c r="C613" s="4" t="s">
        <v>25</v>
      </c>
      <c r="E613" s="41">
        <v>7</v>
      </c>
      <c r="F613" s="41"/>
      <c r="G613" s="180">
        <f>272.9</f>
        <v>272.9</v>
      </c>
      <c r="H613" s="179">
        <f>12004217.98</f>
        <v>12004217.98</v>
      </c>
      <c r="I613" s="180">
        <f>275.4</f>
        <v>275.4</v>
      </c>
      <c r="J613" s="179">
        <f>12444995.89</f>
        <v>12444995.89</v>
      </c>
      <c r="K613" s="179"/>
      <c r="L613" s="180">
        <f>276.1</f>
        <v>276.1</v>
      </c>
      <c r="M613" s="179">
        <f>13112548</f>
        <v>13112548</v>
      </c>
    </row>
    <row r="614" spans="1:13" ht="12">
      <c r="A614" s="41">
        <v>8</v>
      </c>
      <c r="B614" s="41"/>
      <c r="C614" s="4" t="s">
        <v>26</v>
      </c>
      <c r="E614" s="41">
        <v>8</v>
      </c>
      <c r="F614" s="41"/>
      <c r="G614" s="180"/>
      <c r="H614" s="179">
        <f>2373933.52</f>
        <v>2373933.52</v>
      </c>
      <c r="I614" s="180"/>
      <c r="J614" s="179">
        <f>2602631.22</f>
        <v>2602631.22</v>
      </c>
      <c r="K614" s="179"/>
      <c r="L614" s="180"/>
      <c r="M614" s="179">
        <f>3389213</f>
        <v>3389213</v>
      </c>
    </row>
    <row r="615" spans="1:13" ht="12">
      <c r="A615" s="41">
        <v>9</v>
      </c>
      <c r="B615" s="41"/>
      <c r="C615" s="4" t="s">
        <v>27</v>
      </c>
      <c r="E615" s="41">
        <v>9</v>
      </c>
      <c r="F615" s="41"/>
      <c r="G615" s="89">
        <f>SUM(G612,G613)</f>
        <v>344.4</v>
      </c>
      <c r="H615" s="86">
        <f>SUM(H612:H614)</f>
        <v>18736958.27</v>
      </c>
      <c r="I615" s="89">
        <f>SUM(I612,I613)</f>
        <v>341.9</v>
      </c>
      <c r="J615" s="86">
        <f>SUM(J612:J614)</f>
        <v>19343363.85</v>
      </c>
      <c r="K615" s="86"/>
      <c r="L615" s="89">
        <f>SUM(L612,L613)</f>
        <v>341.90000000000003</v>
      </c>
      <c r="M615" s="86">
        <f>SUM(M612:M614)</f>
        <v>21134992</v>
      </c>
    </row>
    <row r="616" spans="1:13" ht="12">
      <c r="A616" s="41">
        <v>10</v>
      </c>
      <c r="B616" s="41"/>
      <c r="E616" s="41">
        <v>10</v>
      </c>
      <c r="F616" s="41"/>
      <c r="G616" s="89"/>
      <c r="H616" s="86"/>
      <c r="I616" s="89"/>
      <c r="J616" s="86"/>
      <c r="K616" s="86"/>
      <c r="L616" s="89"/>
      <c r="M616" s="86"/>
    </row>
    <row r="617" spans="1:13" ht="12">
      <c r="A617" s="41">
        <v>11</v>
      </c>
      <c r="B617" s="41"/>
      <c r="C617" s="4" t="s">
        <v>28</v>
      </c>
      <c r="E617" s="41">
        <v>11</v>
      </c>
      <c r="F617" s="41"/>
      <c r="G617" s="89">
        <f aca="true" t="shared" si="28" ref="G617:M617">SUM(G610,G615)</f>
        <v>2003.7999999999997</v>
      </c>
      <c r="H617" s="86">
        <f t="shared" si="28"/>
        <v>168832747.48000002</v>
      </c>
      <c r="I617" s="89">
        <f t="shared" si="28"/>
        <v>2041.1</v>
      </c>
      <c r="J617" s="86">
        <f t="shared" si="28"/>
        <v>181316409.41</v>
      </c>
      <c r="K617" s="86"/>
      <c r="L617" s="89">
        <f t="shared" si="28"/>
        <v>2071.5</v>
      </c>
      <c r="M617" s="86">
        <f t="shared" si="28"/>
        <v>200485283</v>
      </c>
    </row>
    <row r="618" spans="1:13" ht="12">
      <c r="A618" s="41">
        <v>12</v>
      </c>
      <c r="B618" s="41"/>
      <c r="E618" s="41">
        <v>12</v>
      </c>
      <c r="F618" s="41"/>
      <c r="H618" s="86"/>
      <c r="J618" s="86"/>
      <c r="K618" s="86"/>
      <c r="M618" s="86"/>
    </row>
    <row r="619" spans="1:13" ht="12">
      <c r="A619" s="41">
        <v>13</v>
      </c>
      <c r="B619" s="41"/>
      <c r="C619" s="4" t="s">
        <v>427</v>
      </c>
      <c r="E619" s="41">
        <v>13</v>
      </c>
      <c r="F619" s="41"/>
      <c r="G619" s="180">
        <f>91.6</f>
        <v>91.6</v>
      </c>
      <c r="H619" s="179">
        <f>1473512.07+13274.24</f>
        <v>1486786.31</v>
      </c>
      <c r="I619" s="180">
        <f>97.7</f>
        <v>97.7</v>
      </c>
      <c r="J619" s="179">
        <f>1572330.2+6297.13</f>
        <v>1578627.3299999998</v>
      </c>
      <c r="K619" s="179"/>
      <c r="L619" s="180">
        <f>98.8</f>
        <v>98.8</v>
      </c>
      <c r="M619" s="179">
        <f>1600157</f>
        <v>1600157</v>
      </c>
    </row>
    <row r="620" spans="1:13" ht="12">
      <c r="A620" s="41">
        <v>14</v>
      </c>
      <c r="B620" s="41"/>
      <c r="E620" s="41">
        <v>14</v>
      </c>
      <c r="F620" s="41"/>
      <c r="G620" s="27"/>
      <c r="H620" s="179"/>
      <c r="I620" s="27"/>
      <c r="J620" s="179"/>
      <c r="K620" s="179"/>
      <c r="L620" s="27"/>
      <c r="M620" s="179"/>
    </row>
    <row r="621" spans="1:13" ht="12">
      <c r="A621" s="41">
        <v>15</v>
      </c>
      <c r="B621" s="41"/>
      <c r="C621" s="4" t="s">
        <v>30</v>
      </c>
      <c r="E621" s="41">
        <v>15</v>
      </c>
      <c r="F621" s="41"/>
      <c r="G621" s="180"/>
      <c r="H621" s="179">
        <f>2143634.68</f>
        <v>2143634.68</v>
      </c>
      <c r="I621" s="180"/>
      <c r="J621" s="179">
        <f>2447378.16</f>
        <v>2447378.16</v>
      </c>
      <c r="K621" s="179"/>
      <c r="L621" s="180"/>
      <c r="M621" s="179">
        <f>2431863</f>
        <v>2431863</v>
      </c>
    </row>
    <row r="622" spans="1:13" ht="12">
      <c r="A622" s="41">
        <v>16</v>
      </c>
      <c r="B622" s="41"/>
      <c r="C622" s="4" t="s">
        <v>31</v>
      </c>
      <c r="E622" s="41">
        <v>16</v>
      </c>
      <c r="F622" s="41"/>
      <c r="G622" s="180"/>
      <c r="H622" s="179">
        <f>17185458.1</f>
        <v>17185458.1</v>
      </c>
      <c r="I622" s="180"/>
      <c r="J622" s="179">
        <f>19586484.32</f>
        <v>19586484.32</v>
      </c>
      <c r="K622" s="179"/>
      <c r="L622" s="180"/>
      <c r="M622" s="179">
        <f>24282724</f>
        <v>24282724</v>
      </c>
    </row>
    <row r="623" spans="1:13" ht="12">
      <c r="A623" s="41">
        <v>17</v>
      </c>
      <c r="B623" s="41"/>
      <c r="C623" s="4" t="s">
        <v>428</v>
      </c>
      <c r="E623" s="41">
        <v>17</v>
      </c>
      <c r="F623" s="41"/>
      <c r="G623" s="180"/>
      <c r="H623" s="179"/>
      <c r="I623" s="180"/>
      <c r="J623" s="179"/>
      <c r="K623" s="179"/>
      <c r="L623" s="183"/>
      <c r="M623" s="179"/>
    </row>
    <row r="624" spans="1:13" ht="12">
      <c r="A624" s="41">
        <v>18</v>
      </c>
      <c r="B624" s="41"/>
      <c r="C624" s="5" t="s">
        <v>429</v>
      </c>
      <c r="E624" s="41">
        <v>18</v>
      </c>
      <c r="F624" s="41"/>
      <c r="G624" s="180"/>
      <c r="H624" s="179"/>
      <c r="I624" s="180"/>
      <c r="J624" s="179"/>
      <c r="K624" s="179"/>
      <c r="L624" s="180"/>
      <c r="M624" s="179"/>
    </row>
    <row r="625" spans="1:13" ht="12">
      <c r="A625" s="41">
        <v>19</v>
      </c>
      <c r="B625" s="41"/>
      <c r="E625" s="5">
        <v>19</v>
      </c>
      <c r="G625" s="24"/>
      <c r="H625" s="24"/>
      <c r="I625" s="24"/>
      <c r="J625" s="24"/>
      <c r="K625" s="24"/>
      <c r="L625" s="24"/>
      <c r="M625" s="24"/>
    </row>
    <row r="626" spans="1:13" ht="12">
      <c r="A626" s="41">
        <v>20</v>
      </c>
      <c r="B626" s="41"/>
      <c r="E626" s="41">
        <v>20</v>
      </c>
      <c r="F626" s="41"/>
      <c r="G626" s="24"/>
      <c r="H626" s="24"/>
      <c r="I626" s="24"/>
      <c r="J626" s="24"/>
      <c r="K626" s="24"/>
      <c r="L626" s="24"/>
      <c r="M626" s="24"/>
    </row>
    <row r="627" spans="1:13" ht="12">
      <c r="A627" s="41">
        <v>21</v>
      </c>
      <c r="B627" s="41"/>
      <c r="E627" s="41">
        <v>21</v>
      </c>
      <c r="F627" s="41"/>
      <c r="G627" s="24"/>
      <c r="H627" s="86"/>
      <c r="I627" s="24"/>
      <c r="J627" s="86"/>
      <c r="K627" s="86"/>
      <c r="L627" s="24"/>
      <c r="M627" s="86"/>
    </row>
    <row r="628" spans="1:13" ht="12">
      <c r="A628" s="41">
        <v>22</v>
      </c>
      <c r="B628" s="41"/>
      <c r="E628" s="41">
        <v>22</v>
      </c>
      <c r="F628" s="41"/>
      <c r="G628" s="89"/>
      <c r="H628" s="86"/>
      <c r="I628" s="89"/>
      <c r="J628" s="86"/>
      <c r="K628" s="86"/>
      <c r="L628" s="89"/>
      <c r="M628" s="86"/>
    </row>
    <row r="629" spans="1:13" ht="12">
      <c r="A629" s="41">
        <v>23</v>
      </c>
      <c r="B629" s="41"/>
      <c r="D629" s="47"/>
      <c r="E629" s="41">
        <v>23</v>
      </c>
      <c r="F629" s="41"/>
      <c r="H629" s="86"/>
      <c r="J629" s="86"/>
      <c r="K629" s="86"/>
      <c r="M629" s="86"/>
    </row>
    <row r="630" spans="1:13" ht="12">
      <c r="A630" s="41">
        <v>24</v>
      </c>
      <c r="B630" s="41"/>
      <c r="D630" s="47"/>
      <c r="E630" s="41">
        <v>24</v>
      </c>
      <c r="F630" s="41"/>
      <c r="H630" s="86"/>
      <c r="J630" s="86"/>
      <c r="K630" s="86"/>
      <c r="M630" s="86"/>
    </row>
    <row r="631" spans="7:13" ht="12">
      <c r="G631" s="24" t="s">
        <v>1</v>
      </c>
      <c r="H631" s="24" t="s">
        <v>1</v>
      </c>
      <c r="I631" s="24" t="s">
        <v>1</v>
      </c>
      <c r="J631" s="24" t="s">
        <v>1</v>
      </c>
      <c r="K631" s="24"/>
      <c r="L631" s="24" t="s">
        <v>1</v>
      </c>
      <c r="M631" s="24" t="s">
        <v>1</v>
      </c>
    </row>
    <row r="632" spans="1:13" ht="12">
      <c r="A632" s="41">
        <v>25</v>
      </c>
      <c r="B632" s="41"/>
      <c r="C632" s="4" t="s">
        <v>430</v>
      </c>
      <c r="E632" s="41">
        <v>25</v>
      </c>
      <c r="F632" s="41"/>
      <c r="G632" s="6">
        <f>G617</f>
        <v>2003.7999999999997</v>
      </c>
      <c r="H632" s="25">
        <f>SUM(H617:H630)</f>
        <v>189648626.57000002</v>
      </c>
      <c r="I632" s="6">
        <f>I617</f>
        <v>2041.1</v>
      </c>
      <c r="J632" s="25">
        <f>SUM(J617:J630)</f>
        <v>204928899.22</v>
      </c>
      <c r="K632" s="25"/>
      <c r="L632" s="6">
        <f>L617</f>
        <v>2071.5</v>
      </c>
      <c r="M632" s="86">
        <f>SUM(M617:M630)</f>
        <v>228800027</v>
      </c>
    </row>
    <row r="633" spans="5:13" ht="12">
      <c r="E633" s="38"/>
      <c r="F633" s="38"/>
      <c r="G633" s="24" t="s">
        <v>1</v>
      </c>
      <c r="H633" s="24" t="s">
        <v>1</v>
      </c>
      <c r="I633" s="24" t="s">
        <v>1</v>
      </c>
      <c r="J633" s="24" t="s">
        <v>1</v>
      </c>
      <c r="K633" s="24"/>
      <c r="L633" s="24" t="s">
        <v>1</v>
      </c>
      <c r="M633" s="24" t="s">
        <v>1</v>
      </c>
    </row>
    <row r="634" spans="1:8" ht="12">
      <c r="A634" s="4" t="s">
        <v>431</v>
      </c>
      <c r="B634" s="4"/>
      <c r="H634" s="17"/>
    </row>
    <row r="635" spans="1:8" ht="12">
      <c r="A635" s="4"/>
      <c r="B635" s="4"/>
      <c r="H635" s="17"/>
    </row>
    <row r="636" spans="1:8" ht="12">
      <c r="A636" s="4"/>
      <c r="B636" s="4"/>
      <c r="H636" s="17"/>
    </row>
    <row r="637" spans="1:8" ht="12">
      <c r="A637" s="4"/>
      <c r="B637" s="4"/>
      <c r="H637" s="17"/>
    </row>
    <row r="639" spans="1:13" ht="12">
      <c r="A639" s="68" t="s">
        <v>372</v>
      </c>
      <c r="B639" s="68"/>
      <c r="E639" s="38"/>
      <c r="F639" s="38"/>
      <c r="G639" s="71"/>
      <c r="H639" s="86"/>
      <c r="I639" s="71"/>
      <c r="J639" s="86"/>
      <c r="K639" s="86"/>
      <c r="L639" s="71"/>
      <c r="M639" s="189" t="s">
        <v>33</v>
      </c>
    </row>
    <row r="640" spans="1:13" ht="12">
      <c r="A640" s="428" t="s">
        <v>160</v>
      </c>
      <c r="B640" s="428"/>
      <c r="C640" s="428"/>
      <c r="D640" s="428"/>
      <c r="E640" s="428"/>
      <c r="F640" s="428"/>
      <c r="G640" s="428"/>
      <c r="H640" s="428"/>
      <c r="I640" s="428"/>
      <c r="J640" s="428"/>
      <c r="K640" s="428"/>
      <c r="L640" s="428"/>
      <c r="M640" s="428"/>
    </row>
    <row r="641" spans="1:13" ht="12">
      <c r="A641" s="68" t="s">
        <v>345</v>
      </c>
      <c r="B641" s="68"/>
      <c r="G641" s="71"/>
      <c r="H641" s="7"/>
      <c r="I641" s="106"/>
      <c r="J641" s="219"/>
      <c r="K641" s="219"/>
      <c r="L641" s="71"/>
      <c r="M641" s="190" t="s">
        <v>346</v>
      </c>
    </row>
    <row r="642" spans="1:13" ht="12">
      <c r="A642" s="15" t="s">
        <v>1</v>
      </c>
      <c r="B642" s="15"/>
      <c r="C642" s="15" t="s">
        <v>1</v>
      </c>
      <c r="D642" s="15" t="s">
        <v>1</v>
      </c>
      <c r="E642" s="15" t="s">
        <v>1</v>
      </c>
      <c r="F642" s="15"/>
      <c r="G642" s="15" t="s">
        <v>1</v>
      </c>
      <c r="H642" s="15" t="s">
        <v>1</v>
      </c>
      <c r="I642" s="15" t="s">
        <v>1</v>
      </c>
      <c r="J642" s="15" t="s">
        <v>1</v>
      </c>
      <c r="K642" s="15"/>
      <c r="L642" s="15" t="s">
        <v>1</v>
      </c>
      <c r="M642" s="15" t="s">
        <v>1</v>
      </c>
    </row>
    <row r="643" spans="1:13" ht="12">
      <c r="A643" s="73" t="s">
        <v>2</v>
      </c>
      <c r="B643" s="73"/>
      <c r="E643" s="73" t="s">
        <v>2</v>
      </c>
      <c r="F643" s="73"/>
      <c r="G643" s="178"/>
      <c r="H643" s="123" t="s">
        <v>172</v>
      </c>
      <c r="I643" s="175"/>
      <c r="J643" s="123" t="s">
        <v>280</v>
      </c>
      <c r="K643" s="123"/>
      <c r="L643" s="89"/>
      <c r="M643" s="123" t="s">
        <v>289</v>
      </c>
    </row>
    <row r="644" spans="1:13" ht="12">
      <c r="A644" s="73" t="s">
        <v>4</v>
      </c>
      <c r="B644" s="73"/>
      <c r="C644" s="74" t="s">
        <v>20</v>
      </c>
      <c r="E644" s="73" t="s">
        <v>4</v>
      </c>
      <c r="F644" s="73"/>
      <c r="G644" s="178" t="s">
        <v>6</v>
      </c>
      <c r="H644" s="123" t="s">
        <v>7</v>
      </c>
      <c r="I644" s="178" t="s">
        <v>6</v>
      </c>
      <c r="J644" s="123" t="s">
        <v>7</v>
      </c>
      <c r="K644" s="123"/>
      <c r="L644" s="178" t="s">
        <v>6</v>
      </c>
      <c r="M644" s="123" t="s">
        <v>8</v>
      </c>
    </row>
    <row r="645" spans="1:13" ht="12">
      <c r="A645" s="15" t="s">
        <v>1</v>
      </c>
      <c r="B645" s="15"/>
      <c r="C645" s="15" t="s">
        <v>1</v>
      </c>
      <c r="D645" s="15" t="s">
        <v>1</v>
      </c>
      <c r="E645" s="15" t="s">
        <v>1</v>
      </c>
      <c r="F645" s="15"/>
      <c r="G645" s="15" t="s">
        <v>1</v>
      </c>
      <c r="H645" s="15" t="s">
        <v>1</v>
      </c>
      <c r="I645" s="15" t="s">
        <v>1</v>
      </c>
      <c r="J645" s="15" t="s">
        <v>1</v>
      </c>
      <c r="K645" s="15"/>
      <c r="L645" s="15" t="s">
        <v>1</v>
      </c>
      <c r="M645" s="176" t="s">
        <v>1</v>
      </c>
    </row>
    <row r="646" spans="1:13" ht="12">
      <c r="A646" s="41">
        <v>1</v>
      </c>
      <c r="B646" s="41"/>
      <c r="C646" s="4" t="s">
        <v>432</v>
      </c>
      <c r="E646" s="41">
        <v>1</v>
      </c>
      <c r="F646" s="41"/>
      <c r="G646" s="180">
        <f>29.3</f>
        <v>29.3</v>
      </c>
      <c r="H646" s="179">
        <f>2458631.62</f>
        <v>2458631.62</v>
      </c>
      <c r="I646" s="180">
        <f>31.4</f>
        <v>31.4</v>
      </c>
      <c r="J646" s="179">
        <f>2714363.75</f>
        <v>2714363.75</v>
      </c>
      <c r="K646" s="179"/>
      <c r="L646" s="180">
        <f>31.8</f>
        <v>31.8</v>
      </c>
      <c r="M646" s="179">
        <f>2891196</f>
        <v>2891196</v>
      </c>
    </row>
    <row r="647" spans="1:13" ht="12">
      <c r="A647" s="41">
        <v>2</v>
      </c>
      <c r="B647" s="41"/>
      <c r="C647" s="4" t="s">
        <v>37</v>
      </c>
      <c r="E647" s="41">
        <v>2</v>
      </c>
      <c r="F647" s="41"/>
      <c r="G647" s="180"/>
      <c r="H647" s="179">
        <f>785444.79</f>
        <v>785444.79</v>
      </c>
      <c r="I647" s="180"/>
      <c r="J647" s="179">
        <f>822084.69</f>
        <v>822084.69</v>
      </c>
      <c r="K647" s="179"/>
      <c r="L647" s="180"/>
      <c r="M647" s="179">
        <f>868870</f>
        <v>868870</v>
      </c>
    </row>
    <row r="648" spans="1:13" ht="12">
      <c r="A648" s="41">
        <v>3</v>
      </c>
      <c r="B648" s="41"/>
      <c r="C648" s="4" t="s">
        <v>34</v>
      </c>
      <c r="E648" s="41">
        <v>3</v>
      </c>
      <c r="F648" s="41"/>
      <c r="G648" s="180">
        <f>4.8</f>
        <v>4.8</v>
      </c>
      <c r="H648" s="179">
        <f>175890.52+74693.76</f>
        <v>250584.27999999997</v>
      </c>
      <c r="I648" s="180">
        <f>8.6</f>
        <v>8.6</v>
      </c>
      <c r="J648" s="179">
        <f>324720.48+1603845.13</f>
        <v>1928565.6099999999</v>
      </c>
      <c r="K648" s="179"/>
      <c r="L648" s="180">
        <f>8.6</f>
        <v>8.6</v>
      </c>
      <c r="M648" s="179">
        <f>2129778</f>
        <v>2129778</v>
      </c>
    </row>
    <row r="649" spans="1:13" ht="12">
      <c r="A649" s="41">
        <v>4</v>
      </c>
      <c r="B649" s="41"/>
      <c r="C649" s="4" t="s">
        <v>23</v>
      </c>
      <c r="E649" s="41">
        <v>4</v>
      </c>
      <c r="F649" s="41"/>
      <c r="G649" s="89">
        <f>SUM(G646,G648)</f>
        <v>34.1</v>
      </c>
      <c r="H649" s="86">
        <f>SUM(H646:H648)</f>
        <v>3494660.69</v>
      </c>
      <c r="I649" s="89">
        <f>SUM(I646,I648)</f>
        <v>40</v>
      </c>
      <c r="J649" s="86">
        <f>SUM(J646:J648)</f>
        <v>5465014.05</v>
      </c>
      <c r="K649" s="86"/>
      <c r="L649" s="89">
        <f>SUM(L646,L648)</f>
        <v>40.4</v>
      </c>
      <c r="M649" s="86">
        <f>SUM(M646:M648)</f>
        <v>5889844</v>
      </c>
    </row>
    <row r="650" spans="1:13" ht="12">
      <c r="A650" s="41">
        <v>5</v>
      </c>
      <c r="B650" s="41"/>
      <c r="E650" s="41">
        <v>5</v>
      </c>
      <c r="F650" s="41"/>
      <c r="G650" s="182"/>
      <c r="H650" s="86"/>
      <c r="I650" s="182"/>
      <c r="J650" s="86"/>
      <c r="K650" s="86"/>
      <c r="L650" s="182"/>
      <c r="M650" s="86"/>
    </row>
    <row r="651" spans="1:13" ht="12">
      <c r="A651" s="41">
        <v>6</v>
      </c>
      <c r="B651" s="41"/>
      <c r="C651" s="4" t="s">
        <v>24</v>
      </c>
      <c r="E651" s="41">
        <v>6</v>
      </c>
      <c r="F651" s="41"/>
      <c r="G651" s="180">
        <f>1.2</f>
        <v>1.2</v>
      </c>
      <c r="H651" s="179">
        <f>42870.94+18208.93</f>
        <v>61079.87</v>
      </c>
      <c r="I651" s="180">
        <f>1.6</f>
        <v>1.6</v>
      </c>
      <c r="J651" s="179">
        <f>58970.37+291280.87</f>
        <v>350251.24</v>
      </c>
      <c r="K651" s="179"/>
      <c r="L651" s="180">
        <f>1.6</f>
        <v>1.6</v>
      </c>
      <c r="M651" s="179">
        <f>385666</f>
        <v>385666</v>
      </c>
    </row>
    <row r="652" spans="1:13" ht="12">
      <c r="A652" s="41">
        <v>7</v>
      </c>
      <c r="B652" s="41"/>
      <c r="C652" s="4" t="s">
        <v>25</v>
      </c>
      <c r="E652" s="41">
        <v>7</v>
      </c>
      <c r="F652" s="41"/>
      <c r="G652" s="180">
        <f>6.8</f>
        <v>6.8</v>
      </c>
      <c r="H652" s="179">
        <f>326523.96</f>
        <v>326523.96</v>
      </c>
      <c r="I652" s="180">
        <f>6.2</f>
        <v>6.2</v>
      </c>
      <c r="J652" s="179">
        <f>308311.56</f>
        <v>308311.56</v>
      </c>
      <c r="K652" s="179"/>
      <c r="L652" s="180">
        <f>6.3</f>
        <v>6.3</v>
      </c>
      <c r="M652" s="179">
        <f>326537</f>
        <v>326537</v>
      </c>
    </row>
    <row r="653" spans="1:13" ht="12">
      <c r="A653" s="41">
        <v>8</v>
      </c>
      <c r="B653" s="41"/>
      <c r="C653" s="4" t="s">
        <v>26</v>
      </c>
      <c r="E653" s="41">
        <v>8</v>
      </c>
      <c r="F653" s="41"/>
      <c r="G653" s="180"/>
      <c r="H653" s="179">
        <f>69597.03</f>
        <v>69597.03</v>
      </c>
      <c r="I653" s="180"/>
      <c r="J653" s="179">
        <f>67181.32</f>
        <v>67181.32</v>
      </c>
      <c r="K653" s="179"/>
      <c r="L653" s="180"/>
      <c r="M653" s="179">
        <f>84623</f>
        <v>84623</v>
      </c>
    </row>
    <row r="654" spans="1:13" ht="12">
      <c r="A654" s="41">
        <v>9</v>
      </c>
      <c r="B654" s="41"/>
      <c r="C654" s="4" t="s">
        <v>27</v>
      </c>
      <c r="E654" s="41">
        <v>9</v>
      </c>
      <c r="F654" s="41"/>
      <c r="G654" s="89">
        <f>SUM(G651+G652)</f>
        <v>8</v>
      </c>
      <c r="H654" s="86">
        <f>SUM(H651:H653)</f>
        <v>457200.86</v>
      </c>
      <c r="I654" s="89">
        <f>SUM(I651+I652)</f>
        <v>7.800000000000001</v>
      </c>
      <c r="J654" s="86">
        <f>SUM(J651:J653)</f>
        <v>725744.1200000001</v>
      </c>
      <c r="K654" s="86"/>
      <c r="L654" s="89">
        <f>SUM(L651+L652)</f>
        <v>7.9</v>
      </c>
      <c r="M654" s="86">
        <f>SUM(M651:M653)</f>
        <v>796826</v>
      </c>
    </row>
    <row r="655" spans="1:13" ht="12">
      <c r="A655" s="41">
        <v>10</v>
      </c>
      <c r="B655" s="41"/>
      <c r="E655" s="41">
        <v>10</v>
      </c>
      <c r="F655" s="41"/>
      <c r="G655" s="89"/>
      <c r="H655" s="86"/>
      <c r="I655" s="89"/>
      <c r="J655" s="86"/>
      <c r="K655" s="86"/>
      <c r="L655" s="89"/>
      <c r="M655" s="86"/>
    </row>
    <row r="656" spans="1:13" ht="12">
      <c r="A656" s="41">
        <v>11</v>
      </c>
      <c r="B656" s="41"/>
      <c r="C656" s="4" t="s">
        <v>28</v>
      </c>
      <c r="E656" s="41">
        <v>11</v>
      </c>
      <c r="F656" s="41"/>
      <c r="G656" s="89">
        <f aca="true" t="shared" si="29" ref="G656:M656">SUM(G649,G654)</f>
        <v>42.1</v>
      </c>
      <c r="H656" s="86">
        <f t="shared" si="29"/>
        <v>3951861.55</v>
      </c>
      <c r="I656" s="89">
        <f t="shared" si="29"/>
        <v>47.8</v>
      </c>
      <c r="J656" s="86">
        <f t="shared" si="29"/>
        <v>6190758.17</v>
      </c>
      <c r="K656" s="86"/>
      <c r="L656" s="89">
        <f t="shared" si="29"/>
        <v>48.3</v>
      </c>
      <c r="M656" s="86">
        <f t="shared" si="29"/>
        <v>6686670</v>
      </c>
    </row>
    <row r="657" spans="1:13" ht="12">
      <c r="A657" s="41">
        <v>12</v>
      </c>
      <c r="B657" s="41"/>
      <c r="E657" s="41">
        <v>12</v>
      </c>
      <c r="F657" s="41"/>
      <c r="G657" s="89"/>
      <c r="H657" s="86"/>
      <c r="I657" s="89"/>
      <c r="J657" s="86"/>
      <c r="K657" s="86"/>
      <c r="L657" s="89"/>
      <c r="M657" s="86"/>
    </row>
    <row r="658" spans="1:13" ht="12">
      <c r="A658" s="41">
        <v>13</v>
      </c>
      <c r="B658" s="41"/>
      <c r="C658" s="4" t="s">
        <v>29</v>
      </c>
      <c r="E658" s="41">
        <v>13</v>
      </c>
      <c r="F658" s="41"/>
      <c r="G658" s="180">
        <f>1.6</f>
        <v>1.6</v>
      </c>
      <c r="H658" s="179">
        <f>28640.8+293.25</f>
        <v>28934.05</v>
      </c>
      <c r="I658" s="180">
        <f>2.1</f>
        <v>2.1</v>
      </c>
      <c r="J658" s="179">
        <f>36419.24+145.68</f>
        <v>36564.92</v>
      </c>
      <c r="K658" s="179"/>
      <c r="L658" s="180">
        <f>2</f>
        <v>2</v>
      </c>
      <c r="M658" s="179">
        <f>37594</f>
        <v>37594</v>
      </c>
    </row>
    <row r="659" spans="1:13" ht="12">
      <c r="A659" s="41">
        <v>14</v>
      </c>
      <c r="B659" s="41"/>
      <c r="E659" s="41">
        <v>14</v>
      </c>
      <c r="F659" s="41"/>
      <c r="G659" s="180"/>
      <c r="H659" s="179"/>
      <c r="I659" s="180"/>
      <c r="J659" s="179"/>
      <c r="K659" s="179"/>
      <c r="L659" s="183"/>
      <c r="M659" s="179"/>
    </row>
    <row r="660" spans="1:13" ht="12">
      <c r="A660" s="41">
        <v>15</v>
      </c>
      <c r="B660" s="41"/>
      <c r="C660" s="4" t="s">
        <v>30</v>
      </c>
      <c r="E660" s="41">
        <v>15</v>
      </c>
      <c r="F660" s="41"/>
      <c r="G660" s="180"/>
      <c r="H660" s="179">
        <f>49749.97</f>
        <v>49749.97</v>
      </c>
      <c r="I660" s="180"/>
      <c r="J660" s="179">
        <f>53132.69</f>
        <v>53132.69</v>
      </c>
      <c r="K660" s="179"/>
      <c r="L660" s="180"/>
      <c r="M660" s="179">
        <f>54013</f>
        <v>54013</v>
      </c>
    </row>
    <row r="661" spans="1:13" ht="12">
      <c r="A661" s="41">
        <v>16</v>
      </c>
      <c r="B661" s="41"/>
      <c r="C661" s="4" t="s">
        <v>31</v>
      </c>
      <c r="E661" s="41">
        <v>16</v>
      </c>
      <c r="F661" s="41"/>
      <c r="G661" s="180"/>
      <c r="H661" s="179">
        <f>1426988.9</f>
        <v>1426988.9</v>
      </c>
      <c r="I661" s="180"/>
      <c r="J661" s="179">
        <f>1401828.09</f>
        <v>1401828.09</v>
      </c>
      <c r="K661" s="179"/>
      <c r="L661" s="180"/>
      <c r="M661" s="179">
        <f>1455188</f>
        <v>1455188</v>
      </c>
    </row>
    <row r="662" spans="1:13" ht="12">
      <c r="A662" s="41">
        <v>17</v>
      </c>
      <c r="B662" s="41"/>
      <c r="C662" s="4" t="s">
        <v>428</v>
      </c>
      <c r="E662" s="41">
        <v>17</v>
      </c>
      <c r="F662" s="41"/>
      <c r="G662" s="180"/>
      <c r="H662" s="179"/>
      <c r="I662" s="180"/>
      <c r="J662" s="179"/>
      <c r="K662" s="179"/>
      <c r="L662" s="180"/>
      <c r="M662" s="179"/>
    </row>
    <row r="663" spans="1:13" ht="12">
      <c r="A663" s="41">
        <v>18</v>
      </c>
      <c r="B663" s="41"/>
      <c r="C663" s="5" t="s">
        <v>433</v>
      </c>
      <c r="E663" s="41">
        <v>18</v>
      </c>
      <c r="F663" s="41"/>
      <c r="G663" s="180"/>
      <c r="H663" s="179"/>
      <c r="I663" s="180"/>
      <c r="J663" s="179"/>
      <c r="K663" s="179"/>
      <c r="L663" s="180"/>
      <c r="M663" s="179"/>
    </row>
    <row r="664" spans="1:9" ht="12">
      <c r="A664" s="41">
        <v>19</v>
      </c>
      <c r="B664" s="41"/>
      <c r="C664" s="4"/>
      <c r="E664" s="41">
        <v>19</v>
      </c>
      <c r="F664" s="41"/>
      <c r="G664" s="180"/>
      <c r="H664" s="179"/>
      <c r="I664" s="180"/>
    </row>
    <row r="665" spans="1:13" ht="12">
      <c r="A665" s="41">
        <v>20</v>
      </c>
      <c r="B665" s="41"/>
      <c r="E665" s="41">
        <v>20</v>
      </c>
      <c r="F665" s="41"/>
      <c r="G665" s="24"/>
      <c r="H665" s="24"/>
      <c r="I665" s="24"/>
      <c r="J665" s="24"/>
      <c r="K665" s="24"/>
      <c r="L665" s="24"/>
      <c r="M665" s="24"/>
    </row>
    <row r="666" spans="1:13" ht="12">
      <c r="A666" s="41">
        <v>21</v>
      </c>
      <c r="B666" s="41"/>
      <c r="E666" s="41">
        <v>21</v>
      </c>
      <c r="F666" s="41"/>
      <c r="H666" s="24"/>
      <c r="I666" s="24"/>
      <c r="J666" s="86"/>
      <c r="K666" s="86"/>
      <c r="L666" s="24"/>
      <c r="M666" s="86"/>
    </row>
    <row r="667" spans="1:13" ht="12">
      <c r="A667" s="41">
        <v>22</v>
      </c>
      <c r="B667" s="41"/>
      <c r="E667" s="41">
        <v>22</v>
      </c>
      <c r="F667" s="41"/>
      <c r="H667" s="24"/>
      <c r="I667" s="89"/>
      <c r="J667" s="86"/>
      <c r="K667" s="86"/>
      <c r="L667" s="89"/>
      <c r="M667" s="86"/>
    </row>
    <row r="668" spans="1:13" ht="12">
      <c r="A668" s="41">
        <v>23</v>
      </c>
      <c r="B668" s="41"/>
      <c r="D668" s="47"/>
      <c r="E668" s="41">
        <v>23</v>
      </c>
      <c r="F668" s="41"/>
      <c r="H668" s="24"/>
      <c r="J668" s="86"/>
      <c r="K668" s="86"/>
      <c r="M668" s="86"/>
    </row>
    <row r="669" spans="1:13" ht="12">
      <c r="A669" s="41">
        <v>24</v>
      </c>
      <c r="B669" s="41"/>
      <c r="D669" s="47"/>
      <c r="E669" s="41">
        <v>24</v>
      </c>
      <c r="F669" s="41"/>
      <c r="H669" s="24"/>
      <c r="J669" s="86"/>
      <c r="K669" s="86"/>
      <c r="M669" s="86"/>
    </row>
    <row r="670" spans="7:13" ht="12">
      <c r="G670" s="24" t="s">
        <v>1</v>
      </c>
      <c r="H670" s="24" t="s">
        <v>1</v>
      </c>
      <c r="I670" s="24" t="s">
        <v>1</v>
      </c>
      <c r="J670" s="24" t="s">
        <v>1</v>
      </c>
      <c r="K670" s="24"/>
      <c r="L670" s="24" t="s">
        <v>1</v>
      </c>
      <c r="M670" s="24" t="s">
        <v>1</v>
      </c>
    </row>
    <row r="671" spans="1:13" ht="12">
      <c r="A671" s="41">
        <v>25</v>
      </c>
      <c r="B671" s="41"/>
      <c r="C671" s="4" t="s">
        <v>434</v>
      </c>
      <c r="E671" s="41">
        <v>25</v>
      </c>
      <c r="F671" s="41"/>
      <c r="G671" s="77">
        <f>G656</f>
        <v>42.1</v>
      </c>
      <c r="H671" s="25">
        <f>SUM(H656:H669)</f>
        <v>5457534.47</v>
      </c>
      <c r="I671" s="77">
        <f>I656</f>
        <v>47.8</v>
      </c>
      <c r="J671" s="25">
        <f>SUM(J656:J669)</f>
        <v>7682283.87</v>
      </c>
      <c r="K671" s="25"/>
      <c r="L671" s="77">
        <f>L656</f>
        <v>48.3</v>
      </c>
      <c r="M671" s="25">
        <f>SUM(M656:M669)</f>
        <v>8233465</v>
      </c>
    </row>
    <row r="672" spans="5:13" ht="12">
      <c r="E672" s="38"/>
      <c r="F672" s="38"/>
      <c r="G672" s="24" t="s">
        <v>1</v>
      </c>
      <c r="H672" s="24" t="s">
        <v>1</v>
      </c>
      <c r="I672" s="24" t="s">
        <v>1</v>
      </c>
      <c r="J672" s="24" t="s">
        <v>1</v>
      </c>
      <c r="K672" s="24"/>
      <c r="L672" s="24" t="s">
        <v>1</v>
      </c>
      <c r="M672" s="24" t="s">
        <v>1</v>
      </c>
    </row>
    <row r="673" spans="5:13" ht="12">
      <c r="E673" s="38"/>
      <c r="F673" s="38"/>
      <c r="G673" s="24"/>
      <c r="H673" s="24"/>
      <c r="I673" s="24"/>
      <c r="J673" s="24"/>
      <c r="K673" s="24"/>
      <c r="L673" s="24"/>
      <c r="M673" s="24"/>
    </row>
    <row r="674" spans="1:13" ht="12">
      <c r="A674" s="4"/>
      <c r="B674" s="4"/>
      <c r="H674" s="86"/>
      <c r="J674" s="86"/>
      <c r="K674" s="86"/>
      <c r="M674" s="86"/>
    </row>
    <row r="675" spans="8:13" ht="12">
      <c r="H675" s="86"/>
      <c r="J675" s="86"/>
      <c r="K675" s="86"/>
      <c r="M675" s="86"/>
    </row>
    <row r="676" spans="8:13" ht="12">
      <c r="H676" s="86"/>
      <c r="J676" s="86"/>
      <c r="K676" s="86"/>
      <c r="M676" s="86"/>
    </row>
    <row r="677" spans="1:13" ht="12">
      <c r="A677" s="68" t="s">
        <v>372</v>
      </c>
      <c r="B677" s="68"/>
      <c r="E677" s="38"/>
      <c r="F677" s="38"/>
      <c r="G677" s="71"/>
      <c r="H677" s="86"/>
      <c r="I677" s="71"/>
      <c r="J677" s="86"/>
      <c r="K677" s="86"/>
      <c r="L677" s="71"/>
      <c r="M677" s="189" t="s">
        <v>35</v>
      </c>
    </row>
    <row r="678" spans="1:13" ht="12">
      <c r="A678" s="428" t="s">
        <v>161</v>
      </c>
      <c r="B678" s="428"/>
      <c r="C678" s="428"/>
      <c r="D678" s="428"/>
      <c r="E678" s="428"/>
      <c r="F678" s="428"/>
      <c r="G678" s="428"/>
      <c r="H678" s="428"/>
      <c r="I678" s="428"/>
      <c r="J678" s="428"/>
      <c r="K678" s="428"/>
      <c r="L678" s="428"/>
      <c r="M678" s="428"/>
    </row>
    <row r="679" spans="1:13" ht="12">
      <c r="A679" s="68" t="s">
        <v>345</v>
      </c>
      <c r="B679" s="68"/>
      <c r="G679" s="71"/>
      <c r="H679" s="86"/>
      <c r="I679" s="7"/>
      <c r="J679" s="219"/>
      <c r="K679" s="219"/>
      <c r="L679" s="71"/>
      <c r="M679" s="190" t="s">
        <v>346</v>
      </c>
    </row>
    <row r="680" spans="1:13" ht="12">
      <c r="A680" s="15" t="s">
        <v>1</v>
      </c>
      <c r="B680" s="15"/>
      <c r="C680" s="15" t="s">
        <v>1</v>
      </c>
      <c r="D680" s="15" t="s">
        <v>1</v>
      </c>
      <c r="E680" s="15" t="s">
        <v>1</v>
      </c>
      <c r="F680" s="15"/>
      <c r="G680" s="15" t="s">
        <v>1</v>
      </c>
      <c r="H680" s="176" t="s">
        <v>1</v>
      </c>
      <c r="I680" s="15" t="s">
        <v>1</v>
      </c>
      <c r="J680" s="176" t="s">
        <v>1</v>
      </c>
      <c r="K680" s="176"/>
      <c r="L680" s="15" t="s">
        <v>1</v>
      </c>
      <c r="M680" s="176" t="s">
        <v>1</v>
      </c>
    </row>
    <row r="681" spans="1:13" ht="12">
      <c r="A681" s="73" t="s">
        <v>2</v>
      </c>
      <c r="B681" s="73"/>
      <c r="E681" s="73" t="s">
        <v>2</v>
      </c>
      <c r="F681" s="73"/>
      <c r="G681" s="184"/>
      <c r="H681" s="123" t="s">
        <v>172</v>
      </c>
      <c r="I681" s="175"/>
      <c r="J681" s="123" t="s">
        <v>280</v>
      </c>
      <c r="K681" s="123"/>
      <c r="L681" s="89"/>
      <c r="M681" s="123" t="s">
        <v>289</v>
      </c>
    </row>
    <row r="682" spans="1:13" ht="12">
      <c r="A682" s="73" t="s">
        <v>4</v>
      </c>
      <c r="B682" s="73"/>
      <c r="C682" s="74" t="s">
        <v>20</v>
      </c>
      <c r="E682" s="73" t="s">
        <v>4</v>
      </c>
      <c r="F682" s="73"/>
      <c r="G682" s="178" t="s">
        <v>6</v>
      </c>
      <c r="H682" s="123" t="s">
        <v>7</v>
      </c>
      <c r="I682" s="178" t="s">
        <v>6</v>
      </c>
      <c r="J682" s="123" t="s">
        <v>7</v>
      </c>
      <c r="K682" s="123"/>
      <c r="L682" s="178" t="s">
        <v>6</v>
      </c>
      <c r="M682" s="123" t="s">
        <v>8</v>
      </c>
    </row>
    <row r="683" spans="1:13" ht="12">
      <c r="A683" s="15" t="s">
        <v>1</v>
      </c>
      <c r="B683" s="15"/>
      <c r="C683" s="15" t="s">
        <v>1</v>
      </c>
      <c r="D683" s="15" t="s">
        <v>1</v>
      </c>
      <c r="E683" s="15" t="s">
        <v>1</v>
      </c>
      <c r="F683" s="15"/>
      <c r="G683" s="15" t="s">
        <v>1</v>
      </c>
      <c r="H683" s="15" t="s">
        <v>1</v>
      </c>
      <c r="I683" s="15" t="s">
        <v>1</v>
      </c>
      <c r="J683" s="176" t="s">
        <v>1</v>
      </c>
      <c r="K683" s="176"/>
      <c r="L683" s="15" t="s">
        <v>1</v>
      </c>
      <c r="M683" s="176" t="s">
        <v>1</v>
      </c>
    </row>
    <row r="684" spans="1:13" ht="12">
      <c r="A684" s="41">
        <v>1</v>
      </c>
      <c r="B684" s="41"/>
      <c r="C684" s="4" t="s">
        <v>36</v>
      </c>
      <c r="E684" s="41">
        <v>1</v>
      </c>
      <c r="F684" s="41"/>
      <c r="G684" s="180">
        <f>4.9</f>
        <v>4.9</v>
      </c>
      <c r="H684" s="179">
        <f>374007.29</f>
        <v>374007.29</v>
      </c>
      <c r="I684" s="180">
        <f>5</f>
        <v>5</v>
      </c>
      <c r="J684" s="179">
        <f>395006.18</f>
        <v>395006.18</v>
      </c>
      <c r="K684" s="179"/>
      <c r="L684" s="180">
        <f>5</f>
        <v>5</v>
      </c>
      <c r="M684" s="179">
        <f>414411</f>
        <v>414411</v>
      </c>
    </row>
    <row r="685" spans="1:13" ht="12">
      <c r="A685" s="41">
        <v>2</v>
      </c>
      <c r="B685" s="41"/>
      <c r="C685" s="4" t="s">
        <v>37</v>
      </c>
      <c r="E685" s="41">
        <v>2</v>
      </c>
      <c r="F685" s="41"/>
      <c r="G685" s="180"/>
      <c r="H685" s="179">
        <f>86113.87</f>
        <v>86113.87</v>
      </c>
      <c r="I685" s="180"/>
      <c r="J685" s="179">
        <f>96046.51</f>
        <v>96046.51</v>
      </c>
      <c r="K685" s="179"/>
      <c r="L685" s="180"/>
      <c r="M685" s="179">
        <f>112319</f>
        <v>112319</v>
      </c>
    </row>
    <row r="686" spans="1:13" ht="12">
      <c r="A686" s="41">
        <v>3</v>
      </c>
      <c r="B686" s="41"/>
      <c r="E686" s="41">
        <v>3</v>
      </c>
      <c r="F686" s="41"/>
      <c r="G686" s="180"/>
      <c r="H686" s="179"/>
      <c r="I686" s="180"/>
      <c r="J686" s="179"/>
      <c r="K686" s="179"/>
      <c r="L686" s="183"/>
      <c r="M686" s="179"/>
    </row>
    <row r="687" spans="1:13" ht="12">
      <c r="A687" s="41">
        <v>4</v>
      </c>
      <c r="B687" s="41"/>
      <c r="C687" s="4" t="s">
        <v>23</v>
      </c>
      <c r="E687" s="41">
        <v>4</v>
      </c>
      <c r="F687" s="41"/>
      <c r="G687" s="89">
        <f aca="true" t="shared" si="30" ref="G687:M687">SUM(G684:G685)</f>
        <v>4.9</v>
      </c>
      <c r="H687" s="86">
        <f t="shared" si="30"/>
        <v>460121.16</v>
      </c>
      <c r="I687" s="89">
        <f t="shared" si="30"/>
        <v>5</v>
      </c>
      <c r="J687" s="86">
        <f t="shared" si="30"/>
        <v>491052.69</v>
      </c>
      <c r="K687" s="86"/>
      <c r="L687" s="89">
        <f t="shared" si="30"/>
        <v>5</v>
      </c>
      <c r="M687" s="86">
        <f t="shared" si="30"/>
        <v>526730</v>
      </c>
    </row>
    <row r="688" spans="1:13" ht="12">
      <c r="A688" s="41">
        <v>5</v>
      </c>
      <c r="B688" s="41"/>
      <c r="E688" s="41">
        <v>5</v>
      </c>
      <c r="F688" s="41"/>
      <c r="G688" s="89"/>
      <c r="H688" s="86"/>
      <c r="I688" s="89"/>
      <c r="J688" s="86"/>
      <c r="K688" s="86"/>
      <c r="L688" s="182"/>
      <c r="M688" s="86"/>
    </row>
    <row r="689" spans="1:13" ht="12">
      <c r="A689" s="41">
        <v>6</v>
      </c>
      <c r="B689" s="41"/>
      <c r="E689" s="41">
        <v>6</v>
      </c>
      <c r="F689" s="41"/>
      <c r="G689" s="89"/>
      <c r="H689" s="86"/>
      <c r="I689" s="89"/>
      <c r="J689" s="86"/>
      <c r="K689" s="86"/>
      <c r="L689" s="89"/>
      <c r="M689" s="86"/>
    </row>
    <row r="690" spans="1:13" ht="12">
      <c r="A690" s="41">
        <v>7</v>
      </c>
      <c r="B690" s="41"/>
      <c r="C690" s="4" t="s">
        <v>25</v>
      </c>
      <c r="E690" s="41">
        <v>7</v>
      </c>
      <c r="F690" s="41"/>
      <c r="G690" s="180">
        <f>2.8</f>
        <v>2.8</v>
      </c>
      <c r="H690" s="179">
        <f>102606.27</f>
        <v>102606.27</v>
      </c>
      <c r="I690" s="180">
        <f>3.1</f>
        <v>3.1</v>
      </c>
      <c r="J690" s="179">
        <f>115534.72</f>
        <v>115534.72</v>
      </c>
      <c r="K690" s="179"/>
      <c r="L690" s="180">
        <f>3.1</f>
        <v>3.1</v>
      </c>
      <c r="M690" s="179">
        <f>123076</f>
        <v>123076</v>
      </c>
    </row>
    <row r="691" spans="1:13" ht="12">
      <c r="A691" s="41">
        <v>8</v>
      </c>
      <c r="B691" s="41"/>
      <c r="C691" s="4" t="s">
        <v>26</v>
      </c>
      <c r="E691" s="41">
        <v>8</v>
      </c>
      <c r="F691" s="41"/>
      <c r="G691" s="180"/>
      <c r="H691" s="179">
        <f>18170.86</f>
        <v>18170.86</v>
      </c>
      <c r="I691" s="180"/>
      <c r="J691" s="179">
        <f>20429.76</f>
        <v>20429.76</v>
      </c>
      <c r="K691" s="179"/>
      <c r="L691" s="183"/>
      <c r="M691" s="179">
        <f>31840</f>
        <v>31840</v>
      </c>
    </row>
    <row r="692" spans="1:13" ht="12">
      <c r="A692" s="41">
        <v>9</v>
      </c>
      <c r="B692" s="41"/>
      <c r="C692" s="4" t="s">
        <v>27</v>
      </c>
      <c r="E692" s="41">
        <v>9</v>
      </c>
      <c r="F692" s="41"/>
      <c r="G692" s="89">
        <f aca="true" t="shared" si="31" ref="G692:M692">SUM(G690:G691)</f>
        <v>2.8</v>
      </c>
      <c r="H692" s="86">
        <f t="shared" si="31"/>
        <v>120777.13</v>
      </c>
      <c r="I692" s="89">
        <f t="shared" si="31"/>
        <v>3.1</v>
      </c>
      <c r="J692" s="86">
        <f t="shared" si="31"/>
        <v>135964.48</v>
      </c>
      <c r="K692" s="86"/>
      <c r="L692" s="89">
        <f t="shared" si="31"/>
        <v>3.1</v>
      </c>
      <c r="M692" s="86">
        <f t="shared" si="31"/>
        <v>154916</v>
      </c>
    </row>
    <row r="693" spans="1:13" ht="12">
      <c r="A693" s="41">
        <v>10</v>
      </c>
      <c r="B693" s="41"/>
      <c r="E693" s="41">
        <v>10</v>
      </c>
      <c r="F693" s="41"/>
      <c r="G693" s="89"/>
      <c r="H693" s="86"/>
      <c r="I693" s="89"/>
      <c r="J693" s="86"/>
      <c r="K693" s="86"/>
      <c r="L693" s="89"/>
      <c r="M693" s="86"/>
    </row>
    <row r="694" spans="1:13" ht="12">
      <c r="A694" s="41">
        <v>11</v>
      </c>
      <c r="B694" s="41"/>
      <c r="C694" s="4" t="s">
        <v>28</v>
      </c>
      <c r="E694" s="41">
        <v>11</v>
      </c>
      <c r="F694" s="41"/>
      <c r="G694" s="89">
        <f aca="true" t="shared" si="32" ref="G694:M694">SUM(G692,G687)</f>
        <v>7.7</v>
      </c>
      <c r="H694" s="86">
        <f t="shared" si="32"/>
        <v>580898.29</v>
      </c>
      <c r="I694" s="89">
        <f t="shared" si="32"/>
        <v>8.1</v>
      </c>
      <c r="J694" s="86">
        <f t="shared" si="32"/>
        <v>627017.17</v>
      </c>
      <c r="K694" s="86"/>
      <c r="L694" s="89">
        <f t="shared" si="32"/>
        <v>8.1</v>
      </c>
      <c r="M694" s="86">
        <f t="shared" si="32"/>
        <v>681646</v>
      </c>
    </row>
    <row r="695" spans="1:13" ht="12">
      <c r="A695" s="41">
        <v>12</v>
      </c>
      <c r="B695" s="41"/>
      <c r="E695" s="41">
        <v>12</v>
      </c>
      <c r="F695" s="41"/>
      <c r="G695" s="89"/>
      <c r="H695" s="86"/>
      <c r="I695" s="89"/>
      <c r="J695" s="86"/>
      <c r="K695" s="86"/>
      <c r="L695" s="89"/>
      <c r="M695" s="86"/>
    </row>
    <row r="696" spans="1:13" ht="12">
      <c r="A696" s="41">
        <v>13</v>
      </c>
      <c r="B696" s="41"/>
      <c r="C696" s="4" t="s">
        <v>38</v>
      </c>
      <c r="E696" s="41">
        <v>13</v>
      </c>
      <c r="F696" s="41"/>
      <c r="G696" s="180">
        <v>0.1</v>
      </c>
      <c r="H696" s="179">
        <f>2248.27+20.23</f>
        <v>2268.5</v>
      </c>
      <c r="I696" s="180">
        <v>0</v>
      </c>
      <c r="J696" s="179">
        <f>702+2.81</f>
        <v>704.81</v>
      </c>
      <c r="K696" s="179"/>
      <c r="L696" s="180">
        <f>0.2</f>
        <v>0.2</v>
      </c>
      <c r="M696" s="179">
        <f>3223</f>
        <v>3223</v>
      </c>
    </row>
    <row r="697" spans="1:13" ht="12">
      <c r="A697" s="41">
        <v>14</v>
      </c>
      <c r="B697" s="41"/>
      <c r="E697" s="41">
        <v>14</v>
      </c>
      <c r="F697" s="41"/>
      <c r="G697" s="180"/>
      <c r="H697" s="179"/>
      <c r="I697" s="180"/>
      <c r="J697" s="179"/>
      <c r="K697" s="179"/>
      <c r="L697" s="180"/>
      <c r="M697" s="179"/>
    </row>
    <row r="698" spans="1:13" ht="12">
      <c r="A698" s="41">
        <v>15</v>
      </c>
      <c r="B698" s="41"/>
      <c r="C698" s="4" t="s">
        <v>30</v>
      </c>
      <c r="E698" s="41">
        <v>15</v>
      </c>
      <c r="F698" s="41"/>
      <c r="G698" s="180"/>
      <c r="H698" s="179"/>
      <c r="I698" s="180"/>
      <c r="J698" s="179">
        <f>6441.4</f>
        <v>6441.4</v>
      </c>
      <c r="K698" s="179"/>
      <c r="L698" s="180"/>
      <c r="M698" s="179"/>
    </row>
    <row r="699" spans="1:13" ht="12">
      <c r="A699" s="41">
        <v>16</v>
      </c>
      <c r="B699" s="41"/>
      <c r="C699" s="4" t="s">
        <v>31</v>
      </c>
      <c r="E699" s="41">
        <v>16</v>
      </c>
      <c r="F699" s="41"/>
      <c r="G699" s="180"/>
      <c r="H699" s="179">
        <f>78571.83</f>
        <v>78571.83</v>
      </c>
      <c r="I699" s="180"/>
      <c r="J699" s="179">
        <f>80213.99</f>
        <v>80213.99</v>
      </c>
      <c r="K699" s="179"/>
      <c r="L699" s="180"/>
      <c r="M699" s="179">
        <f>82675</f>
        <v>82675</v>
      </c>
    </row>
    <row r="700" spans="1:13" ht="12">
      <c r="A700" s="41"/>
      <c r="B700" s="41"/>
      <c r="C700" s="4"/>
      <c r="E700" s="41"/>
      <c r="F700" s="41"/>
      <c r="G700" s="180"/>
      <c r="H700" s="179"/>
      <c r="I700" s="180"/>
      <c r="J700" s="179"/>
      <c r="K700" s="179"/>
      <c r="L700" s="180"/>
      <c r="M700" s="179"/>
    </row>
    <row r="701" spans="1:13" ht="12">
      <c r="A701" s="41">
        <v>17</v>
      </c>
      <c r="B701" s="41"/>
      <c r="C701" s="4" t="s">
        <v>32</v>
      </c>
      <c r="E701" s="41">
        <v>17</v>
      </c>
      <c r="F701" s="41"/>
      <c r="G701" s="180"/>
      <c r="H701" s="179"/>
      <c r="I701" s="180"/>
      <c r="J701" s="179"/>
      <c r="K701" s="179"/>
      <c r="L701" s="180"/>
      <c r="M701" s="179"/>
    </row>
    <row r="702" spans="1:13" ht="12">
      <c r="A702" s="41">
        <v>18</v>
      </c>
      <c r="B702" s="41"/>
      <c r="C702" s="5" t="s">
        <v>435</v>
      </c>
      <c r="E702" s="41">
        <v>18</v>
      </c>
      <c r="F702" s="41"/>
      <c r="G702" s="180"/>
      <c r="H702" s="179"/>
      <c r="I702" s="180"/>
      <c r="J702" s="179"/>
      <c r="K702" s="179"/>
      <c r="L702" s="180"/>
      <c r="M702" s="179"/>
    </row>
    <row r="703" spans="1:9" ht="12">
      <c r="A703" s="41">
        <v>19</v>
      </c>
      <c r="B703" s="41"/>
      <c r="C703" s="4"/>
      <c r="E703" s="41">
        <v>19</v>
      </c>
      <c r="F703" s="41"/>
      <c r="G703" s="180"/>
      <c r="H703" s="179"/>
      <c r="I703" s="180"/>
    </row>
    <row r="704" spans="1:13" ht="12">
      <c r="A704" s="41">
        <v>20</v>
      </c>
      <c r="B704" s="41"/>
      <c r="E704" s="41">
        <v>20</v>
      </c>
      <c r="F704" s="41"/>
      <c r="G704" s="24"/>
      <c r="H704" s="24"/>
      <c r="I704" s="24"/>
      <c r="J704" s="24"/>
      <c r="K704" s="24"/>
      <c r="L704" s="24"/>
      <c r="M704" s="24"/>
    </row>
    <row r="705" spans="1:13" ht="12">
      <c r="A705" s="41">
        <v>21</v>
      </c>
      <c r="B705" s="41"/>
      <c r="E705" s="41">
        <v>21</v>
      </c>
      <c r="F705" s="41"/>
      <c r="H705" s="24"/>
      <c r="I705" s="24"/>
      <c r="J705" s="86"/>
      <c r="K705" s="86"/>
      <c r="L705" s="24"/>
      <c r="M705" s="86"/>
    </row>
    <row r="706" spans="1:13" ht="12">
      <c r="A706" s="41">
        <v>22</v>
      </c>
      <c r="B706" s="41"/>
      <c r="E706" s="41">
        <v>22</v>
      </c>
      <c r="F706" s="41"/>
      <c r="H706" s="24"/>
      <c r="I706" s="89"/>
      <c r="J706" s="86"/>
      <c r="K706" s="86"/>
      <c r="L706" s="89"/>
      <c r="M706" s="86"/>
    </row>
    <row r="707" spans="1:13" ht="12">
      <c r="A707" s="41">
        <v>23</v>
      </c>
      <c r="B707" s="41"/>
      <c r="D707" s="47"/>
      <c r="E707" s="41">
        <v>23</v>
      </c>
      <c r="F707" s="41"/>
      <c r="H707" s="24"/>
      <c r="J707" s="86"/>
      <c r="K707" s="86"/>
      <c r="M707" s="86"/>
    </row>
    <row r="708" spans="1:13" ht="12">
      <c r="A708" s="41">
        <v>24</v>
      </c>
      <c r="B708" s="41"/>
      <c r="D708" s="47"/>
      <c r="E708" s="41">
        <v>24</v>
      </c>
      <c r="F708" s="41"/>
      <c r="H708" s="24"/>
      <c r="J708" s="86"/>
      <c r="K708" s="86"/>
      <c r="M708" s="86"/>
    </row>
    <row r="709" spans="7:13" ht="12">
      <c r="G709" s="24" t="s">
        <v>1</v>
      </c>
      <c r="H709" s="24" t="s">
        <v>1</v>
      </c>
      <c r="I709" s="24" t="s">
        <v>1</v>
      </c>
      <c r="J709" s="24" t="s">
        <v>1</v>
      </c>
      <c r="K709" s="24"/>
      <c r="L709" s="24" t="s">
        <v>1</v>
      </c>
      <c r="M709" s="24" t="s">
        <v>1</v>
      </c>
    </row>
    <row r="710" spans="1:13" ht="12">
      <c r="A710" s="41">
        <v>25</v>
      </c>
      <c r="B710" s="41"/>
      <c r="C710" s="4" t="s">
        <v>436</v>
      </c>
      <c r="E710" s="41">
        <v>25</v>
      </c>
      <c r="F710" s="41"/>
      <c r="G710" s="77">
        <f>G694</f>
        <v>7.7</v>
      </c>
      <c r="H710" s="25">
        <f>SUM(H694:H708)</f>
        <v>661738.62</v>
      </c>
      <c r="I710" s="77">
        <f>I694</f>
        <v>8.1</v>
      </c>
      <c r="J710" s="25">
        <f>SUM(J694:J708)</f>
        <v>714377.3700000001</v>
      </c>
      <c r="K710" s="25"/>
      <c r="L710" s="77">
        <f>L694</f>
        <v>8.1</v>
      </c>
      <c r="M710" s="86">
        <f>SUM(M694:M708)</f>
        <v>767544</v>
      </c>
    </row>
    <row r="711" spans="5:13" ht="12">
      <c r="E711" s="38"/>
      <c r="F711" s="38"/>
      <c r="G711" s="24" t="s">
        <v>1</v>
      </c>
      <c r="H711" s="24" t="s">
        <v>1</v>
      </c>
      <c r="I711" s="24" t="s">
        <v>1</v>
      </c>
      <c r="J711" s="24" t="s">
        <v>1</v>
      </c>
      <c r="K711" s="24"/>
      <c r="L711" s="24" t="s">
        <v>1</v>
      </c>
      <c r="M711" s="24" t="s">
        <v>1</v>
      </c>
    </row>
    <row r="712" spans="1:13" ht="12">
      <c r="A712" s="4"/>
      <c r="B712" s="4"/>
      <c r="H712" s="86"/>
      <c r="J712" s="86"/>
      <c r="K712" s="86"/>
      <c r="M712" s="86"/>
    </row>
    <row r="713" spans="1:13" ht="12">
      <c r="A713" s="4"/>
      <c r="B713" s="4"/>
      <c r="H713" s="86"/>
      <c r="J713" s="86"/>
      <c r="K713" s="86"/>
      <c r="M713" s="86"/>
    </row>
    <row r="714" spans="8:13" ht="12">
      <c r="H714" s="86"/>
      <c r="J714" s="86"/>
      <c r="K714" s="86"/>
      <c r="M714" s="86"/>
    </row>
    <row r="715" spans="1:13" ht="12">
      <c r="A715" s="68" t="s">
        <v>372</v>
      </c>
      <c r="B715" s="68"/>
      <c r="E715" s="38"/>
      <c r="F715" s="38"/>
      <c r="G715" s="71"/>
      <c r="H715" s="86"/>
      <c r="I715" s="71"/>
      <c r="J715" s="86"/>
      <c r="K715" s="86"/>
      <c r="L715" s="71"/>
      <c r="M715" s="189" t="s">
        <v>39</v>
      </c>
    </row>
    <row r="716" spans="1:13" ht="12">
      <c r="A716" s="428" t="s">
        <v>162</v>
      </c>
      <c r="B716" s="428"/>
      <c r="C716" s="428"/>
      <c r="D716" s="428"/>
      <c r="E716" s="428"/>
      <c r="F716" s="428"/>
      <c r="G716" s="428"/>
      <c r="H716" s="428"/>
      <c r="I716" s="428"/>
      <c r="J716" s="428"/>
      <c r="K716" s="428"/>
      <c r="L716" s="428"/>
      <c r="M716" s="428"/>
    </row>
    <row r="717" spans="1:13" ht="12">
      <c r="A717" s="68" t="s">
        <v>345</v>
      </c>
      <c r="B717" s="68"/>
      <c r="G717" s="71"/>
      <c r="H717" s="86"/>
      <c r="I717" s="7"/>
      <c r="J717" s="219"/>
      <c r="K717" s="219"/>
      <c r="L717" s="71"/>
      <c r="M717" s="190" t="s">
        <v>346</v>
      </c>
    </row>
    <row r="718" spans="1:13" ht="12">
      <c r="A718" s="15" t="s">
        <v>1</v>
      </c>
      <c r="B718" s="15"/>
      <c r="C718" s="15" t="s">
        <v>1</v>
      </c>
      <c r="D718" s="15" t="s">
        <v>1</v>
      </c>
      <c r="E718" s="15" t="s">
        <v>1</v>
      </c>
      <c r="F718" s="15"/>
      <c r="G718" s="15" t="s">
        <v>1</v>
      </c>
      <c r="H718" s="176" t="s">
        <v>1</v>
      </c>
      <c r="I718" s="15" t="s">
        <v>1</v>
      </c>
      <c r="J718" s="176" t="s">
        <v>1</v>
      </c>
      <c r="K718" s="176"/>
      <c r="L718" s="15" t="s">
        <v>1</v>
      </c>
      <c r="M718" s="176" t="s">
        <v>1</v>
      </c>
    </row>
    <row r="719" spans="1:13" ht="12">
      <c r="A719" s="73" t="s">
        <v>2</v>
      </c>
      <c r="B719" s="73"/>
      <c r="E719" s="73" t="s">
        <v>2</v>
      </c>
      <c r="F719" s="73"/>
      <c r="G719" s="178"/>
      <c r="H719" s="123" t="s">
        <v>172</v>
      </c>
      <c r="I719" s="175"/>
      <c r="J719" s="123" t="s">
        <v>280</v>
      </c>
      <c r="K719" s="123"/>
      <c r="L719" s="89"/>
      <c r="M719" s="123" t="s">
        <v>289</v>
      </c>
    </row>
    <row r="720" spans="1:13" ht="12">
      <c r="A720" s="73" t="s">
        <v>4</v>
      </c>
      <c r="B720" s="73"/>
      <c r="C720" s="74" t="s">
        <v>20</v>
      </c>
      <c r="E720" s="73" t="s">
        <v>4</v>
      </c>
      <c r="F720" s="73"/>
      <c r="G720" s="178" t="s">
        <v>6</v>
      </c>
      <c r="H720" s="123" t="s">
        <v>7</v>
      </c>
      <c r="I720" s="178" t="s">
        <v>6</v>
      </c>
      <c r="J720" s="123" t="s">
        <v>7</v>
      </c>
      <c r="K720" s="123"/>
      <c r="L720" s="178" t="s">
        <v>6</v>
      </c>
      <c r="M720" s="123" t="s">
        <v>8</v>
      </c>
    </row>
    <row r="721" spans="1:13" ht="12">
      <c r="A721" s="15" t="s">
        <v>1</v>
      </c>
      <c r="B721" s="15"/>
      <c r="C721" s="15" t="s">
        <v>1</v>
      </c>
      <c r="D721" s="15" t="s">
        <v>1</v>
      </c>
      <c r="E721" s="15" t="s">
        <v>1</v>
      </c>
      <c r="F721" s="15"/>
      <c r="G721" s="15" t="s">
        <v>1</v>
      </c>
      <c r="H721" s="15" t="s">
        <v>1</v>
      </c>
      <c r="I721" s="15" t="s">
        <v>1</v>
      </c>
      <c r="J721" s="176" t="s">
        <v>1</v>
      </c>
      <c r="K721" s="176"/>
      <c r="L721" s="15" t="s">
        <v>1</v>
      </c>
      <c r="M721" s="176" t="s">
        <v>1</v>
      </c>
    </row>
    <row r="722" spans="1:13" ht="12">
      <c r="A722" s="41">
        <v>1</v>
      </c>
      <c r="B722" s="41"/>
      <c r="C722" s="4" t="s">
        <v>36</v>
      </c>
      <c r="E722" s="41">
        <v>1</v>
      </c>
      <c r="F722" s="41"/>
      <c r="G722" s="180">
        <f>208.7</f>
        <v>208.7</v>
      </c>
      <c r="H722" s="179">
        <f>15004964.27</f>
        <v>15004964.27</v>
      </c>
      <c r="I722" s="180">
        <f>210</f>
        <v>210</v>
      </c>
      <c r="J722" s="179">
        <f>15554344.33</f>
        <v>15554344.33</v>
      </c>
      <c r="K722" s="179"/>
      <c r="L722" s="180">
        <f>211.7</f>
        <v>211.7</v>
      </c>
      <c r="M722" s="179">
        <f>16483271</f>
        <v>16483271</v>
      </c>
    </row>
    <row r="723" spans="1:13" ht="12">
      <c r="A723" s="41">
        <v>2</v>
      </c>
      <c r="B723" s="41"/>
      <c r="C723" s="4" t="s">
        <v>37</v>
      </c>
      <c r="E723" s="41">
        <v>2</v>
      </c>
      <c r="F723" s="41"/>
      <c r="G723" s="180"/>
      <c r="H723" s="179">
        <f>3335091.32</f>
        <v>3335091.32</v>
      </c>
      <c r="I723" s="180"/>
      <c r="J723" s="179">
        <f>3791047.48</f>
        <v>3791047.48</v>
      </c>
      <c r="K723" s="179"/>
      <c r="L723" s="180"/>
      <c r="M723" s="179">
        <f>4448761</f>
        <v>4448761</v>
      </c>
    </row>
    <row r="724" spans="1:13" ht="12">
      <c r="A724" s="41">
        <v>3</v>
      </c>
      <c r="B724" s="41"/>
      <c r="E724" s="41">
        <v>3</v>
      </c>
      <c r="F724" s="41"/>
      <c r="G724" s="180"/>
      <c r="H724" s="179"/>
      <c r="I724" s="180"/>
      <c r="J724" s="179"/>
      <c r="K724" s="179"/>
      <c r="L724" s="180"/>
      <c r="M724" s="179"/>
    </row>
    <row r="725" spans="1:13" ht="12">
      <c r="A725" s="41">
        <v>4</v>
      </c>
      <c r="B725" s="41"/>
      <c r="C725" s="4" t="s">
        <v>23</v>
      </c>
      <c r="E725" s="41">
        <v>4</v>
      </c>
      <c r="F725" s="41"/>
      <c r="G725" s="89">
        <f>G722</f>
        <v>208.7</v>
      </c>
      <c r="H725" s="86">
        <f>SUM(H722:H723)</f>
        <v>18340055.59</v>
      </c>
      <c r="I725" s="89">
        <f>I722</f>
        <v>210</v>
      </c>
      <c r="J725" s="86">
        <f>SUM(J722:J723)</f>
        <v>19345391.81</v>
      </c>
      <c r="K725" s="86"/>
      <c r="L725" s="89">
        <f>L722</f>
        <v>211.7</v>
      </c>
      <c r="M725" s="86">
        <f>SUM(M722:M723)</f>
        <v>20932032</v>
      </c>
    </row>
    <row r="726" spans="1:13" ht="12">
      <c r="A726" s="41">
        <v>5</v>
      </c>
      <c r="B726" s="41"/>
      <c r="E726" s="41">
        <v>5</v>
      </c>
      <c r="F726" s="41"/>
      <c r="G726" s="89"/>
      <c r="H726" s="86"/>
      <c r="I726" s="89"/>
      <c r="J726" s="86"/>
      <c r="K726" s="86"/>
      <c r="L726" s="182"/>
      <c r="M726" s="86"/>
    </row>
    <row r="727" spans="1:13" ht="12">
      <c r="A727" s="41">
        <v>6</v>
      </c>
      <c r="B727" s="41"/>
      <c r="E727" s="41">
        <v>6</v>
      </c>
      <c r="F727" s="41"/>
      <c r="G727" s="89"/>
      <c r="H727" s="86"/>
      <c r="I727" s="89"/>
      <c r="J727" s="86"/>
      <c r="K727" s="86"/>
      <c r="L727" s="89"/>
      <c r="M727" s="86"/>
    </row>
    <row r="728" spans="1:13" ht="12">
      <c r="A728" s="41">
        <v>7</v>
      </c>
      <c r="B728" s="41"/>
      <c r="C728" s="4" t="s">
        <v>25</v>
      </c>
      <c r="E728" s="41">
        <v>7</v>
      </c>
      <c r="F728" s="41"/>
      <c r="G728" s="180">
        <f>316.4</f>
        <v>316.4</v>
      </c>
      <c r="H728" s="179">
        <f>15669928.68</f>
        <v>15669928.68</v>
      </c>
      <c r="I728" s="180">
        <f>316.7</f>
        <v>316.7</v>
      </c>
      <c r="J728" s="179">
        <f>16107430.04</f>
        <v>16107430.04</v>
      </c>
      <c r="K728" s="179"/>
      <c r="L728" s="180">
        <f>316.6</f>
        <v>316.6</v>
      </c>
      <c r="M728" s="179">
        <f>16924996</f>
        <v>16924996</v>
      </c>
    </row>
    <row r="729" spans="1:13" ht="12">
      <c r="A729" s="41">
        <v>8</v>
      </c>
      <c r="B729" s="41"/>
      <c r="C729" s="4" t="s">
        <v>26</v>
      </c>
      <c r="E729" s="41">
        <v>8</v>
      </c>
      <c r="F729" s="41"/>
      <c r="G729" s="180"/>
      <c r="H729" s="179">
        <f>3099359.66</f>
        <v>3099359.66</v>
      </c>
      <c r="I729" s="180"/>
      <c r="J729" s="179">
        <f>3340935.43</f>
        <v>3340935.43</v>
      </c>
      <c r="K729" s="179"/>
      <c r="L729" s="180"/>
      <c r="M729" s="179">
        <f>4403356</f>
        <v>4403356</v>
      </c>
    </row>
    <row r="730" spans="1:13" ht="12">
      <c r="A730" s="41">
        <v>9</v>
      </c>
      <c r="B730" s="41"/>
      <c r="C730" s="4" t="s">
        <v>27</v>
      </c>
      <c r="E730" s="41">
        <v>9</v>
      </c>
      <c r="F730" s="41"/>
      <c r="G730" s="89">
        <f>G728</f>
        <v>316.4</v>
      </c>
      <c r="H730" s="86">
        <f>SUM(H728:H729)</f>
        <v>18769288.34</v>
      </c>
      <c r="I730" s="89">
        <f>I728</f>
        <v>316.7</v>
      </c>
      <c r="J730" s="86">
        <f>SUM(J728:J729)</f>
        <v>19448365.47</v>
      </c>
      <c r="K730" s="86"/>
      <c r="L730" s="89">
        <f>L728</f>
        <v>316.6</v>
      </c>
      <c r="M730" s="86">
        <f>SUM(M728:M729)</f>
        <v>21328352</v>
      </c>
    </row>
    <row r="731" spans="1:13" ht="12">
      <c r="A731" s="41">
        <v>10</v>
      </c>
      <c r="B731" s="41"/>
      <c r="E731" s="41">
        <v>10</v>
      </c>
      <c r="F731" s="41"/>
      <c r="G731" s="89"/>
      <c r="H731" s="86"/>
      <c r="I731" s="89"/>
      <c r="J731" s="86"/>
      <c r="K731" s="86"/>
      <c r="L731" s="89"/>
      <c r="M731" s="86"/>
    </row>
    <row r="732" spans="1:13" ht="12">
      <c r="A732" s="41">
        <v>11</v>
      </c>
      <c r="B732" s="41"/>
      <c r="C732" s="4" t="s">
        <v>28</v>
      </c>
      <c r="E732" s="41">
        <v>11</v>
      </c>
      <c r="F732" s="41"/>
      <c r="G732" s="89">
        <f aca="true" t="shared" si="33" ref="G732:M732">SUM(G730,G725)</f>
        <v>525.0999999999999</v>
      </c>
      <c r="H732" s="86">
        <f t="shared" si="33"/>
        <v>37109343.93</v>
      </c>
      <c r="I732" s="89">
        <f t="shared" si="33"/>
        <v>526.7</v>
      </c>
      <c r="J732" s="86">
        <f t="shared" si="33"/>
        <v>38793757.28</v>
      </c>
      <c r="K732" s="86"/>
      <c r="L732" s="89">
        <f t="shared" si="33"/>
        <v>528.3</v>
      </c>
      <c r="M732" s="86">
        <f t="shared" si="33"/>
        <v>42260384</v>
      </c>
    </row>
    <row r="733" spans="1:13" ht="12">
      <c r="A733" s="41">
        <v>12</v>
      </c>
      <c r="B733" s="41"/>
      <c r="E733" s="41">
        <v>12</v>
      </c>
      <c r="F733" s="41"/>
      <c r="H733" s="86"/>
      <c r="J733" s="86"/>
      <c r="K733" s="86"/>
      <c r="M733" s="86"/>
    </row>
    <row r="734" spans="1:13" ht="12">
      <c r="A734" s="41">
        <v>13</v>
      </c>
      <c r="B734" s="41"/>
      <c r="C734" s="4" t="s">
        <v>38</v>
      </c>
      <c r="E734" s="41">
        <v>13</v>
      </c>
      <c r="F734" s="41"/>
      <c r="G734" s="180">
        <f>7.4+89.1</f>
        <v>96.5</v>
      </c>
      <c r="H734" s="179">
        <f>1639635.78+122528.51</f>
        <v>1762164.29</v>
      </c>
      <c r="I734" s="180">
        <f>10+89.1</f>
        <v>99.1</v>
      </c>
      <c r="J734" s="179">
        <f>356903.74+1386436.11+406199.01+5545.75</f>
        <v>2155084.6100000003</v>
      </c>
      <c r="K734" s="179"/>
      <c r="L734" s="180">
        <f>99.6</f>
        <v>99.6</v>
      </c>
      <c r="M734" s="179">
        <f>2186596</f>
        <v>2186596</v>
      </c>
    </row>
    <row r="735" spans="1:13" ht="12">
      <c r="A735" s="41">
        <v>14</v>
      </c>
      <c r="B735" s="41"/>
      <c r="E735" s="41">
        <v>14</v>
      </c>
      <c r="F735" s="41"/>
      <c r="G735" s="179"/>
      <c r="H735" s="179"/>
      <c r="I735" s="179"/>
      <c r="J735" s="179"/>
      <c r="K735" s="179"/>
      <c r="L735" s="179"/>
      <c r="M735" s="179"/>
    </row>
    <row r="736" spans="1:13" ht="12">
      <c r="A736" s="41">
        <v>15</v>
      </c>
      <c r="B736" s="41"/>
      <c r="C736" s="4" t="s">
        <v>30</v>
      </c>
      <c r="E736" s="41">
        <v>15</v>
      </c>
      <c r="F736" s="41"/>
      <c r="G736" s="180"/>
      <c r="H736" s="179">
        <f>343337.11</f>
        <v>343337.11</v>
      </c>
      <c r="I736" s="180"/>
      <c r="J736" s="179">
        <f>389214.68</f>
        <v>389214.68</v>
      </c>
      <c r="K736" s="179"/>
      <c r="L736" s="180"/>
      <c r="M736" s="179">
        <f>373862</f>
        <v>373862</v>
      </c>
    </row>
    <row r="737" spans="1:13" ht="12">
      <c r="A737" s="41">
        <v>16</v>
      </c>
      <c r="B737" s="41"/>
      <c r="C737" s="4" t="s">
        <v>31</v>
      </c>
      <c r="E737" s="41">
        <v>16</v>
      </c>
      <c r="F737" s="41"/>
      <c r="G737" s="180"/>
      <c r="H737" s="179">
        <f>8102819.15</f>
        <v>8102819.15</v>
      </c>
      <c r="I737" s="180"/>
      <c r="J737" s="179">
        <f>7307870.65</f>
        <v>7307870.65</v>
      </c>
      <c r="K737" s="179"/>
      <c r="L737" s="180"/>
      <c r="M737" s="179">
        <f>7608232</f>
        <v>7608232</v>
      </c>
    </row>
    <row r="738" spans="1:13" ht="12">
      <c r="A738" s="41">
        <v>17</v>
      </c>
      <c r="B738" s="41"/>
      <c r="C738" s="4" t="s">
        <v>32</v>
      </c>
      <c r="E738" s="41">
        <v>17</v>
      </c>
      <c r="F738" s="41"/>
      <c r="G738" s="180"/>
      <c r="H738" s="179">
        <f>1504889.79</f>
        <v>1504889.79</v>
      </c>
      <c r="I738" s="180"/>
      <c r="J738" s="179">
        <f>1131434.77</f>
        <v>1131434.77</v>
      </c>
      <c r="K738" s="179"/>
      <c r="L738" s="180"/>
      <c r="M738" s="179">
        <f>1162165</f>
        <v>1162165</v>
      </c>
    </row>
    <row r="739" spans="1:13" ht="12">
      <c r="A739" s="41">
        <v>18</v>
      </c>
      <c r="B739" s="41"/>
      <c r="C739" s="4" t="s">
        <v>616</v>
      </c>
      <c r="E739" s="41">
        <v>18</v>
      </c>
      <c r="F739" s="41"/>
      <c r="G739" s="180"/>
      <c r="H739" s="179">
        <f>10786952.66</f>
        <v>10786952.66</v>
      </c>
      <c r="I739" s="180"/>
      <c r="J739" s="179">
        <f>10466685.96</f>
        <v>10466685.96</v>
      </c>
      <c r="K739" s="179"/>
      <c r="L739" s="180"/>
      <c r="M739" s="179">
        <f>11592001</f>
        <v>11592001</v>
      </c>
    </row>
    <row r="740" spans="1:12" ht="12">
      <c r="A740" s="41">
        <v>19</v>
      </c>
      <c r="B740" s="41"/>
      <c r="C740" s="4" t="s">
        <v>42</v>
      </c>
      <c r="E740" s="41">
        <v>19</v>
      </c>
      <c r="F740" s="41"/>
      <c r="G740" s="180"/>
      <c r="I740" s="180"/>
      <c r="L740" s="180"/>
    </row>
    <row r="741" spans="1:13" ht="12">
      <c r="A741" s="41">
        <v>20</v>
      </c>
      <c r="B741" s="41"/>
      <c r="C741" s="4" t="s">
        <v>115</v>
      </c>
      <c r="E741" s="41">
        <v>20</v>
      </c>
      <c r="F741" s="41"/>
      <c r="G741" s="180"/>
      <c r="H741" s="179"/>
      <c r="I741" s="180"/>
      <c r="J741" s="179"/>
      <c r="K741" s="179"/>
      <c r="L741" s="180"/>
      <c r="M741" s="179"/>
    </row>
    <row r="742" spans="1:13" ht="12">
      <c r="A742" s="41">
        <v>21</v>
      </c>
      <c r="B742" s="41"/>
      <c r="E742" s="41">
        <v>21</v>
      </c>
      <c r="F742" s="41"/>
      <c r="G742" s="24"/>
      <c r="H742" s="86"/>
      <c r="I742" s="24"/>
      <c r="J742" s="86"/>
      <c r="K742" s="86"/>
      <c r="L742" s="24"/>
      <c r="M742" s="86"/>
    </row>
    <row r="743" spans="1:13" ht="12">
      <c r="A743" s="41">
        <v>22</v>
      </c>
      <c r="B743" s="41"/>
      <c r="E743" s="41">
        <v>22</v>
      </c>
      <c r="F743" s="41"/>
      <c r="G743" s="89"/>
      <c r="H743" s="86"/>
      <c r="I743" s="89"/>
      <c r="J743" s="86"/>
      <c r="K743" s="86"/>
      <c r="L743" s="89"/>
      <c r="M743" s="86"/>
    </row>
    <row r="744" spans="1:13" ht="12">
      <c r="A744" s="41">
        <v>23</v>
      </c>
      <c r="B744" s="41"/>
      <c r="C744" s="4"/>
      <c r="D744" s="47"/>
      <c r="E744" s="41">
        <v>23</v>
      </c>
      <c r="F744" s="41"/>
      <c r="H744" s="24"/>
      <c r="J744" s="86"/>
      <c r="K744" s="86"/>
      <c r="M744" s="86"/>
    </row>
    <row r="745" spans="1:13" ht="12">
      <c r="A745" s="41">
        <v>24</v>
      </c>
      <c r="B745" s="41"/>
      <c r="D745" s="47"/>
      <c r="E745" s="41">
        <v>24</v>
      </c>
      <c r="F745" s="41"/>
      <c r="H745" s="24"/>
      <c r="J745" s="86"/>
      <c r="K745" s="86"/>
      <c r="M745" s="86"/>
    </row>
    <row r="746" spans="7:13" ht="12">
      <c r="G746" s="24" t="s">
        <v>1</v>
      </c>
      <c r="H746" s="24" t="s">
        <v>1</v>
      </c>
      <c r="I746" s="24" t="s">
        <v>1</v>
      </c>
      <c r="J746" s="24" t="s">
        <v>1</v>
      </c>
      <c r="K746" s="24"/>
      <c r="L746" s="24" t="s">
        <v>1</v>
      </c>
      <c r="M746" s="24" t="s">
        <v>1</v>
      </c>
    </row>
    <row r="747" spans="1:13" ht="12">
      <c r="A747" s="41">
        <v>25</v>
      </c>
      <c r="B747" s="41"/>
      <c r="C747" s="4" t="s">
        <v>437</v>
      </c>
      <c r="E747" s="41">
        <v>25</v>
      </c>
      <c r="F747" s="41"/>
      <c r="G747" s="77">
        <f>G732</f>
        <v>525.0999999999999</v>
      </c>
      <c r="H747" s="25">
        <f>SUM(H732:H745)-H739</f>
        <v>48822554.269999996</v>
      </c>
      <c r="I747" s="77">
        <f>I732</f>
        <v>526.7</v>
      </c>
      <c r="J747" s="25">
        <f>SUM(J732:J745)-J739</f>
        <v>49777361.99</v>
      </c>
      <c r="K747" s="25"/>
      <c r="L747" s="77">
        <f>L732</f>
        <v>528.3</v>
      </c>
      <c r="M747" s="86">
        <f>SUM(M732:M745)-M739</f>
        <v>53591239</v>
      </c>
    </row>
    <row r="748" spans="5:13" ht="12">
      <c r="E748" s="38"/>
      <c r="F748" s="38"/>
      <c r="G748" s="24" t="s">
        <v>1</v>
      </c>
      <c r="H748" s="24" t="s">
        <v>1</v>
      </c>
      <c r="I748" s="24" t="s">
        <v>1</v>
      </c>
      <c r="J748" s="24" t="s">
        <v>1</v>
      </c>
      <c r="K748" s="24"/>
      <c r="L748" s="24" t="s">
        <v>1</v>
      </c>
      <c r="M748" s="24" t="s">
        <v>1</v>
      </c>
    </row>
    <row r="749" spans="1:2" ht="12">
      <c r="A749" s="4"/>
      <c r="B749" s="4"/>
    </row>
    <row r="751" spans="1:13" ht="12">
      <c r="A751" s="68" t="s">
        <v>372</v>
      </c>
      <c r="B751" s="68"/>
      <c r="E751" s="38"/>
      <c r="F751" s="38"/>
      <c r="G751" s="71"/>
      <c r="H751" s="86"/>
      <c r="I751" s="71"/>
      <c r="J751" s="86"/>
      <c r="K751" s="86"/>
      <c r="L751" s="71"/>
      <c r="M751" s="189" t="s">
        <v>41</v>
      </c>
    </row>
    <row r="752" spans="1:13" ht="12">
      <c r="A752" s="428" t="s">
        <v>163</v>
      </c>
      <c r="B752" s="428"/>
      <c r="C752" s="428"/>
      <c r="D752" s="428"/>
      <c r="E752" s="428"/>
      <c r="F752" s="428"/>
      <c r="G752" s="428"/>
      <c r="H752" s="428"/>
      <c r="I752" s="428"/>
      <c r="J752" s="428"/>
      <c r="K752" s="428"/>
      <c r="L752" s="428"/>
      <c r="M752" s="428"/>
    </row>
    <row r="753" spans="1:13" ht="12">
      <c r="A753" s="68" t="s">
        <v>345</v>
      </c>
      <c r="B753" s="68"/>
      <c r="G753" s="71"/>
      <c r="H753" s="86"/>
      <c r="I753" s="7"/>
      <c r="J753" s="219"/>
      <c r="K753" s="219"/>
      <c r="L753" s="71"/>
      <c r="M753" s="190" t="s">
        <v>346</v>
      </c>
    </row>
    <row r="754" spans="1:13" ht="12">
      <c r="A754" s="15" t="s">
        <v>1</v>
      </c>
      <c r="B754" s="15"/>
      <c r="C754" s="15" t="s">
        <v>1</v>
      </c>
      <c r="D754" s="15" t="s">
        <v>1</v>
      </c>
      <c r="E754" s="15" t="s">
        <v>1</v>
      </c>
      <c r="F754" s="15"/>
      <c r="G754" s="15" t="s">
        <v>1</v>
      </c>
      <c r="H754" s="15" t="s">
        <v>1</v>
      </c>
      <c r="I754" s="15" t="s">
        <v>1</v>
      </c>
      <c r="J754" s="15" t="s">
        <v>1</v>
      </c>
      <c r="K754" s="15"/>
      <c r="L754" s="15" t="s">
        <v>1</v>
      </c>
      <c r="M754" s="15" t="s">
        <v>1</v>
      </c>
    </row>
    <row r="755" spans="1:13" ht="12">
      <c r="A755" s="73" t="s">
        <v>2</v>
      </c>
      <c r="B755" s="73"/>
      <c r="E755" s="73" t="s">
        <v>2</v>
      </c>
      <c r="F755" s="73"/>
      <c r="G755" s="178"/>
      <c r="H755" s="123" t="s">
        <v>172</v>
      </c>
      <c r="I755" s="175"/>
      <c r="J755" s="123" t="s">
        <v>280</v>
      </c>
      <c r="K755" s="123"/>
      <c r="L755" s="89"/>
      <c r="M755" s="123" t="s">
        <v>289</v>
      </c>
    </row>
    <row r="756" spans="1:13" ht="12">
      <c r="A756" s="73" t="s">
        <v>4</v>
      </c>
      <c r="B756" s="73"/>
      <c r="C756" s="74" t="s">
        <v>20</v>
      </c>
      <c r="E756" s="73" t="s">
        <v>4</v>
      </c>
      <c r="F756" s="73"/>
      <c r="G756" s="178" t="s">
        <v>6</v>
      </c>
      <c r="H756" s="123" t="s">
        <v>7</v>
      </c>
      <c r="I756" s="178" t="s">
        <v>6</v>
      </c>
      <c r="J756" s="123" t="s">
        <v>7</v>
      </c>
      <c r="K756" s="123"/>
      <c r="L756" s="178" t="s">
        <v>6</v>
      </c>
      <c r="M756" s="123" t="s">
        <v>8</v>
      </c>
    </row>
    <row r="757" spans="1:13" ht="12">
      <c r="A757" s="15" t="s">
        <v>1</v>
      </c>
      <c r="B757" s="15"/>
      <c r="C757" s="15" t="s">
        <v>1</v>
      </c>
      <c r="D757" s="15" t="s">
        <v>1</v>
      </c>
      <c r="E757" s="15" t="s">
        <v>1</v>
      </c>
      <c r="F757" s="15"/>
      <c r="G757" s="15" t="s">
        <v>1</v>
      </c>
      <c r="H757" s="15" t="s">
        <v>1</v>
      </c>
      <c r="I757" s="15" t="s">
        <v>1</v>
      </c>
      <c r="J757" s="15" t="s">
        <v>1</v>
      </c>
      <c r="K757" s="15"/>
      <c r="L757" s="15" t="s">
        <v>1</v>
      </c>
      <c r="M757" s="176" t="s">
        <v>1</v>
      </c>
    </row>
    <row r="758" spans="1:13" ht="12">
      <c r="A758" s="41">
        <v>1</v>
      </c>
      <c r="B758" s="41"/>
      <c r="C758" s="4" t="s">
        <v>36</v>
      </c>
      <c r="E758" s="41">
        <v>1</v>
      </c>
      <c r="F758" s="41"/>
      <c r="G758" s="180">
        <f>73.2</f>
        <v>73.2</v>
      </c>
      <c r="H758" s="179">
        <f>4563987.42</f>
        <v>4563987.42</v>
      </c>
      <c r="I758" s="180">
        <f>79.2</f>
        <v>79.2</v>
      </c>
      <c r="J758" s="179">
        <f>5089654.58</f>
        <v>5089654.58</v>
      </c>
      <c r="K758" s="179"/>
      <c r="L758" s="180">
        <f>79.5</f>
        <v>79.5</v>
      </c>
      <c r="M758" s="179">
        <f>5369788</f>
        <v>5369788</v>
      </c>
    </row>
    <row r="759" spans="1:13" ht="12">
      <c r="A759" s="41">
        <v>2</v>
      </c>
      <c r="B759" s="41"/>
      <c r="C759" s="4" t="s">
        <v>37</v>
      </c>
      <c r="E759" s="41">
        <v>2</v>
      </c>
      <c r="F759" s="41"/>
      <c r="G759" s="180"/>
      <c r="H759" s="179">
        <f>970089.85</f>
        <v>970089.85</v>
      </c>
      <c r="I759" s="180"/>
      <c r="J759" s="179">
        <f>1243743.95</f>
        <v>1243743.95</v>
      </c>
      <c r="K759" s="179"/>
      <c r="L759" s="180"/>
      <c r="M759" s="179">
        <f>1458821</f>
        <v>1458821</v>
      </c>
    </row>
    <row r="760" spans="1:13" ht="12">
      <c r="A760" s="41">
        <v>3</v>
      </c>
      <c r="B760" s="41"/>
      <c r="E760" s="41">
        <v>3</v>
      </c>
      <c r="F760" s="41"/>
      <c r="G760" s="180"/>
      <c r="H760" s="179"/>
      <c r="I760" s="180"/>
      <c r="J760" s="179"/>
      <c r="K760" s="179"/>
      <c r="L760" s="180"/>
      <c r="M760" s="179"/>
    </row>
    <row r="761" spans="1:13" ht="12">
      <c r="A761" s="41">
        <v>4</v>
      </c>
      <c r="B761" s="41"/>
      <c r="C761" s="4" t="s">
        <v>23</v>
      </c>
      <c r="E761" s="41">
        <v>4</v>
      </c>
      <c r="F761" s="41"/>
      <c r="G761" s="89">
        <f>G758</f>
        <v>73.2</v>
      </c>
      <c r="H761" s="86">
        <f>SUM(H758:H759)</f>
        <v>5534077.27</v>
      </c>
      <c r="I761" s="89">
        <f>I758</f>
        <v>79.2</v>
      </c>
      <c r="J761" s="86">
        <f>SUM(J758:J759)</f>
        <v>6333398.53</v>
      </c>
      <c r="K761" s="86"/>
      <c r="L761" s="89">
        <f>L758</f>
        <v>79.5</v>
      </c>
      <c r="M761" s="86">
        <f>SUM(M758:M759)</f>
        <v>6828609</v>
      </c>
    </row>
    <row r="762" spans="1:13" ht="12">
      <c r="A762" s="41">
        <v>5</v>
      </c>
      <c r="B762" s="41"/>
      <c r="E762" s="41">
        <v>5</v>
      </c>
      <c r="F762" s="41"/>
      <c r="G762" s="89"/>
      <c r="H762" s="86"/>
      <c r="I762" s="89"/>
      <c r="J762" s="86"/>
      <c r="K762" s="86"/>
      <c r="L762" s="182"/>
      <c r="M762" s="86"/>
    </row>
    <row r="763" spans="1:13" ht="12">
      <c r="A763" s="41">
        <v>6</v>
      </c>
      <c r="B763" s="41"/>
      <c r="E763" s="41">
        <v>6</v>
      </c>
      <c r="F763" s="41"/>
      <c r="G763" s="89"/>
      <c r="H763" s="86"/>
      <c r="I763" s="89"/>
      <c r="J763" s="86"/>
      <c r="K763" s="86"/>
      <c r="L763" s="182"/>
      <c r="M763" s="86"/>
    </row>
    <row r="764" spans="1:13" ht="12">
      <c r="A764" s="41">
        <v>7</v>
      </c>
      <c r="B764" s="41"/>
      <c r="C764" s="4" t="s">
        <v>25</v>
      </c>
      <c r="E764" s="41">
        <v>7</v>
      </c>
      <c r="F764" s="41"/>
      <c r="G764" s="180">
        <f>136.3</f>
        <v>136.3</v>
      </c>
      <c r="H764" s="179">
        <f>6785154.34</f>
        <v>6785154.34</v>
      </c>
      <c r="I764" s="180">
        <f>135.9</f>
        <v>135.9</v>
      </c>
      <c r="J764" s="179">
        <f>6947318.7</f>
        <v>6947318.7</v>
      </c>
      <c r="K764" s="179"/>
      <c r="L764" s="180">
        <f>136.3</f>
        <v>136.3</v>
      </c>
      <c r="M764" s="179">
        <f>7320955</f>
        <v>7320955</v>
      </c>
    </row>
    <row r="765" spans="1:13" ht="12">
      <c r="A765" s="41">
        <v>8</v>
      </c>
      <c r="B765" s="41"/>
      <c r="C765" s="4" t="s">
        <v>26</v>
      </c>
      <c r="E765" s="41">
        <v>8</v>
      </c>
      <c r="F765" s="41"/>
      <c r="G765" s="180"/>
      <c r="H765" s="179">
        <f>1336189.57</f>
        <v>1336189.57</v>
      </c>
      <c r="I765" s="180"/>
      <c r="J765" s="179">
        <f>1443887.26</f>
        <v>1443887.26</v>
      </c>
      <c r="K765" s="179"/>
      <c r="L765" s="180"/>
      <c r="M765" s="179">
        <f>1882300</f>
        <v>1882300</v>
      </c>
    </row>
    <row r="766" spans="1:13" ht="12">
      <c r="A766" s="41">
        <v>9</v>
      </c>
      <c r="B766" s="41"/>
      <c r="C766" s="4" t="s">
        <v>27</v>
      </c>
      <c r="E766" s="41">
        <v>9</v>
      </c>
      <c r="F766" s="41"/>
      <c r="G766" s="77">
        <f>G764</f>
        <v>136.3</v>
      </c>
      <c r="H766" s="86">
        <f>SUM(H764:H765)</f>
        <v>8121343.91</v>
      </c>
      <c r="I766" s="77">
        <f>I764</f>
        <v>135.9</v>
      </c>
      <c r="J766" s="86">
        <f>SUM(J764:J765)</f>
        <v>8391205.96</v>
      </c>
      <c r="K766" s="86"/>
      <c r="L766" s="77">
        <f>L764</f>
        <v>136.3</v>
      </c>
      <c r="M766" s="86">
        <f>SUM(M764:M765)</f>
        <v>9203255</v>
      </c>
    </row>
    <row r="767" spans="1:13" ht="12">
      <c r="A767" s="41">
        <v>10</v>
      </c>
      <c r="B767" s="41"/>
      <c r="E767" s="41">
        <v>10</v>
      </c>
      <c r="F767" s="41"/>
      <c r="G767" s="89"/>
      <c r="H767" s="86"/>
      <c r="I767" s="89"/>
      <c r="J767" s="86"/>
      <c r="K767" s="86"/>
      <c r="L767" s="89"/>
      <c r="M767" s="86"/>
    </row>
    <row r="768" spans="1:13" ht="12">
      <c r="A768" s="41">
        <v>11</v>
      </c>
      <c r="B768" s="41"/>
      <c r="C768" s="4" t="s">
        <v>28</v>
      </c>
      <c r="E768" s="41">
        <v>11</v>
      </c>
      <c r="F768" s="41"/>
      <c r="G768" s="89">
        <f aca="true" t="shared" si="34" ref="G768:M768">SUM(G766,G761)</f>
        <v>209.5</v>
      </c>
      <c r="H768" s="86">
        <f t="shared" si="34"/>
        <v>13655421.18</v>
      </c>
      <c r="I768" s="89">
        <f t="shared" si="34"/>
        <v>215.10000000000002</v>
      </c>
      <c r="J768" s="86">
        <f t="shared" si="34"/>
        <v>14724604.490000002</v>
      </c>
      <c r="K768" s="86"/>
      <c r="L768" s="89">
        <f t="shared" si="34"/>
        <v>215.8</v>
      </c>
      <c r="M768" s="86">
        <f t="shared" si="34"/>
        <v>16031864</v>
      </c>
    </row>
    <row r="769" spans="1:6" ht="12">
      <c r="A769" s="41">
        <v>12</v>
      </c>
      <c r="B769" s="41"/>
      <c r="E769" s="41">
        <v>12</v>
      </c>
      <c r="F769" s="41"/>
    </row>
    <row r="770" spans="1:13" ht="12">
      <c r="A770" s="41">
        <v>13</v>
      </c>
      <c r="B770" s="41"/>
      <c r="C770" s="4" t="s">
        <v>38</v>
      </c>
      <c r="E770" s="41">
        <v>13</v>
      </c>
      <c r="F770" s="41"/>
      <c r="G770" s="180">
        <f>1.7+28.5</f>
        <v>30.2</v>
      </c>
      <c r="H770" s="179">
        <f>557512.12+27586.31</f>
        <v>585098.43</v>
      </c>
      <c r="I770" s="180">
        <f>2+30.5</f>
        <v>32.5</v>
      </c>
      <c r="J770" s="179">
        <f>68489.33+535341.56+46704.54+1889.97</f>
        <v>652425.4</v>
      </c>
      <c r="K770" s="179"/>
      <c r="L770" s="180">
        <f>2+30.5</f>
        <v>32.5</v>
      </c>
      <c r="M770" s="179">
        <f>670683</f>
        <v>670683</v>
      </c>
    </row>
    <row r="771" spans="1:13" ht="12">
      <c r="A771" s="41">
        <v>14</v>
      </c>
      <c r="B771" s="41"/>
      <c r="E771" s="41">
        <v>14</v>
      </c>
      <c r="F771" s="41"/>
      <c r="G771" s="180"/>
      <c r="H771" s="27"/>
      <c r="I771" s="180"/>
      <c r="J771" s="27"/>
      <c r="K771" s="27"/>
      <c r="L771" s="180"/>
      <c r="M771" s="27"/>
    </row>
    <row r="772" spans="1:13" ht="12">
      <c r="A772" s="41">
        <v>15</v>
      </c>
      <c r="B772" s="41"/>
      <c r="C772" s="4" t="s">
        <v>30</v>
      </c>
      <c r="E772" s="41">
        <v>15</v>
      </c>
      <c r="F772" s="41"/>
      <c r="G772" s="180"/>
      <c r="H772" s="179">
        <f>281042.53</f>
        <v>281042.53</v>
      </c>
      <c r="I772" s="180"/>
      <c r="J772" s="179">
        <f>297584.81</f>
        <v>297584.81</v>
      </c>
      <c r="K772" s="179"/>
      <c r="L772" s="180"/>
      <c r="M772" s="179">
        <f>304452</f>
        <v>304452</v>
      </c>
    </row>
    <row r="773" spans="1:13" ht="12">
      <c r="A773" s="41">
        <v>16</v>
      </c>
      <c r="B773" s="41"/>
      <c r="C773" s="4" t="s">
        <v>31</v>
      </c>
      <c r="E773" s="41">
        <v>16</v>
      </c>
      <c r="F773" s="41"/>
      <c r="G773" s="180"/>
      <c r="H773" s="179">
        <f>2558489.8</f>
        <v>2558489.8</v>
      </c>
      <c r="I773" s="180"/>
      <c r="J773" s="179">
        <f>2964627.95</f>
        <v>2964627.95</v>
      </c>
      <c r="K773" s="179"/>
      <c r="L773" s="180"/>
      <c r="M773" s="179">
        <f>3036853</f>
        <v>3036853</v>
      </c>
    </row>
    <row r="774" spans="1:13" ht="12">
      <c r="A774" s="41"/>
      <c r="B774" s="41"/>
      <c r="C774" s="4"/>
      <c r="E774" s="41"/>
      <c r="F774" s="41"/>
      <c r="G774" s="180"/>
      <c r="H774" s="179"/>
      <c r="I774" s="180"/>
      <c r="J774" s="179"/>
      <c r="K774" s="179"/>
      <c r="L774" s="180"/>
      <c r="M774" s="179"/>
    </row>
    <row r="775" spans="1:13" ht="12">
      <c r="A775" s="41">
        <v>17</v>
      </c>
      <c r="B775" s="41"/>
      <c r="C775" s="4" t="s">
        <v>32</v>
      </c>
      <c r="E775" s="41">
        <v>17</v>
      </c>
      <c r="F775" s="41"/>
      <c r="G775" s="180"/>
      <c r="H775" s="179"/>
      <c r="I775" s="180"/>
      <c r="J775" s="179"/>
      <c r="K775" s="179"/>
      <c r="L775" s="180"/>
      <c r="M775" s="179"/>
    </row>
    <row r="776" spans="1:13" ht="12">
      <c r="A776" s="41">
        <v>18</v>
      </c>
      <c r="B776" s="41"/>
      <c r="C776" s="5" t="s">
        <v>429</v>
      </c>
      <c r="E776" s="41">
        <v>18</v>
      </c>
      <c r="F776" s="41"/>
      <c r="G776" s="180"/>
      <c r="H776" s="179"/>
      <c r="I776" s="180"/>
      <c r="J776" s="179"/>
      <c r="K776" s="179"/>
      <c r="L776" s="180"/>
      <c r="M776" s="179"/>
    </row>
    <row r="777" spans="1:13" ht="12">
      <c r="A777" s="41">
        <v>19</v>
      </c>
      <c r="B777" s="41"/>
      <c r="C777" s="4" t="s">
        <v>42</v>
      </c>
      <c r="E777" s="41">
        <v>19</v>
      </c>
      <c r="F777" s="41"/>
      <c r="G777" s="180"/>
      <c r="H777" s="179"/>
      <c r="I777" s="180"/>
      <c r="J777" s="179"/>
      <c r="K777" s="179"/>
      <c r="L777" s="180"/>
      <c r="M777" s="179"/>
    </row>
    <row r="778" spans="1:13" ht="12">
      <c r="A778" s="41">
        <v>20</v>
      </c>
      <c r="B778" s="41"/>
      <c r="E778" s="41">
        <v>20</v>
      </c>
      <c r="F778" s="41"/>
      <c r="G778" s="24"/>
      <c r="H778" s="24"/>
      <c r="I778" s="24"/>
      <c r="J778" s="24"/>
      <c r="K778" s="24"/>
      <c r="L778" s="24"/>
      <c r="M778" s="24"/>
    </row>
    <row r="779" spans="1:13" ht="12">
      <c r="A779" s="41">
        <v>21</v>
      </c>
      <c r="B779" s="41"/>
      <c r="E779" s="41">
        <v>21</v>
      </c>
      <c r="F779" s="41"/>
      <c r="H779" s="24"/>
      <c r="I779" s="24"/>
      <c r="J779" s="86"/>
      <c r="K779" s="86"/>
      <c r="L779" s="24"/>
      <c r="M779" s="86"/>
    </row>
    <row r="780" spans="1:13" ht="12">
      <c r="A780" s="41">
        <v>22</v>
      </c>
      <c r="B780" s="41"/>
      <c r="E780" s="41">
        <v>22</v>
      </c>
      <c r="F780" s="41"/>
      <c r="H780" s="24"/>
      <c r="I780" s="89"/>
      <c r="J780" s="86"/>
      <c r="K780" s="86"/>
      <c r="L780" s="89"/>
      <c r="M780" s="86"/>
    </row>
    <row r="781" spans="1:13" ht="12">
      <c r="A781" s="41">
        <v>23</v>
      </c>
      <c r="B781" s="41"/>
      <c r="D781" s="47"/>
      <c r="E781" s="41">
        <v>23</v>
      </c>
      <c r="F781" s="41"/>
      <c r="H781" s="24"/>
      <c r="J781" s="86"/>
      <c r="K781" s="86"/>
      <c r="M781" s="86"/>
    </row>
    <row r="782" spans="1:13" ht="12">
      <c r="A782" s="41">
        <v>24</v>
      </c>
      <c r="B782" s="41"/>
      <c r="D782" s="47"/>
      <c r="E782" s="41">
        <v>24</v>
      </c>
      <c r="F782" s="41"/>
      <c r="H782" s="24"/>
      <c r="J782" s="86"/>
      <c r="K782" s="86"/>
      <c r="M782" s="86"/>
    </row>
    <row r="783" spans="7:13" ht="12">
      <c r="G783" s="24" t="s">
        <v>1</v>
      </c>
      <c r="H783" s="24" t="s">
        <v>1</v>
      </c>
      <c r="I783" s="24" t="s">
        <v>1</v>
      </c>
      <c r="J783" s="24" t="s">
        <v>1</v>
      </c>
      <c r="K783" s="24"/>
      <c r="L783" s="24" t="s">
        <v>1</v>
      </c>
      <c r="M783" s="24" t="s">
        <v>1</v>
      </c>
    </row>
    <row r="784" spans="1:13" ht="12">
      <c r="A784" s="41">
        <v>25</v>
      </c>
      <c r="B784" s="41"/>
      <c r="C784" s="4" t="s">
        <v>438</v>
      </c>
      <c r="E784" s="41">
        <v>25</v>
      </c>
      <c r="F784" s="41"/>
      <c r="G784" s="77">
        <f>G768</f>
        <v>209.5</v>
      </c>
      <c r="H784" s="25">
        <f>SUM(H768:H782)</f>
        <v>17080051.939999998</v>
      </c>
      <c r="I784" s="77">
        <f>I768</f>
        <v>215.10000000000002</v>
      </c>
      <c r="J784" s="25">
        <f>SUM(J768:J782)</f>
        <v>18639242.650000002</v>
      </c>
      <c r="K784" s="25"/>
      <c r="L784" s="77">
        <f>L768</f>
        <v>215.8</v>
      </c>
      <c r="M784" s="86">
        <f>SUM(M768:M782)</f>
        <v>20043852</v>
      </c>
    </row>
    <row r="785" spans="5:13" ht="12">
      <c r="E785" s="38"/>
      <c r="F785" s="38"/>
      <c r="G785" s="24" t="s">
        <v>1</v>
      </c>
      <c r="H785" s="24" t="s">
        <v>1</v>
      </c>
      <c r="I785" s="24" t="s">
        <v>1</v>
      </c>
      <c r="J785" s="24" t="s">
        <v>1</v>
      </c>
      <c r="K785" s="24"/>
      <c r="L785" s="24" t="s">
        <v>1</v>
      </c>
      <c r="M785" s="24" t="s">
        <v>1</v>
      </c>
    </row>
    <row r="787" spans="1:2" ht="12">
      <c r="A787" s="4"/>
      <c r="B787" s="4"/>
    </row>
    <row r="788" spans="1:13" ht="12">
      <c r="A788" s="68" t="s">
        <v>372</v>
      </c>
      <c r="B788" s="68"/>
      <c r="E788" s="38"/>
      <c r="F788" s="38"/>
      <c r="G788" s="71"/>
      <c r="H788" s="86"/>
      <c r="I788" s="71"/>
      <c r="J788" s="86"/>
      <c r="K788" s="86"/>
      <c r="L788" s="71"/>
      <c r="M788" s="189" t="s">
        <v>43</v>
      </c>
    </row>
    <row r="789" spans="1:13" ht="12">
      <c r="A789" s="428" t="s">
        <v>439</v>
      </c>
      <c r="B789" s="428"/>
      <c r="C789" s="428"/>
      <c r="D789" s="428"/>
      <c r="E789" s="428"/>
      <c r="F789" s="428"/>
      <c r="G789" s="428"/>
      <c r="H789" s="428"/>
      <c r="I789" s="428"/>
      <c r="J789" s="428"/>
      <c r="K789" s="428"/>
      <c r="L789" s="428"/>
      <c r="M789" s="428"/>
    </row>
    <row r="790" spans="1:13" ht="12">
      <c r="A790" s="68" t="s">
        <v>345</v>
      </c>
      <c r="B790" s="68"/>
      <c r="G790" s="71"/>
      <c r="H790" s="7"/>
      <c r="I790" s="106"/>
      <c r="J790" s="86"/>
      <c r="K790" s="86"/>
      <c r="L790" s="71"/>
      <c r="M790" s="190" t="s">
        <v>346</v>
      </c>
    </row>
    <row r="791" spans="1:13" ht="12">
      <c r="A791" s="15" t="s">
        <v>1</v>
      </c>
      <c r="B791" s="15"/>
      <c r="C791" s="15" t="s">
        <v>1</v>
      </c>
      <c r="D791" s="15" t="s">
        <v>1</v>
      </c>
      <c r="E791" s="15" t="s">
        <v>1</v>
      </c>
      <c r="F791" s="15"/>
      <c r="G791" s="15" t="s">
        <v>1</v>
      </c>
      <c r="H791" s="15" t="s">
        <v>1</v>
      </c>
      <c r="I791" s="15" t="s">
        <v>1</v>
      </c>
      <c r="J791" s="15" t="s">
        <v>1</v>
      </c>
      <c r="K791" s="15"/>
      <c r="L791" s="15" t="s">
        <v>1</v>
      </c>
      <c r="M791" s="15" t="s">
        <v>1</v>
      </c>
    </row>
    <row r="792" spans="1:13" ht="12">
      <c r="A792" s="73" t="s">
        <v>2</v>
      </c>
      <c r="B792" s="73"/>
      <c r="E792" s="73" t="s">
        <v>2</v>
      </c>
      <c r="F792" s="73"/>
      <c r="G792" s="178"/>
      <c r="H792" s="123" t="s">
        <v>172</v>
      </c>
      <c r="I792" s="175"/>
      <c r="J792" s="123" t="s">
        <v>280</v>
      </c>
      <c r="K792" s="123"/>
      <c r="L792" s="89"/>
      <c r="M792" s="123" t="s">
        <v>289</v>
      </c>
    </row>
    <row r="793" spans="1:13" ht="12">
      <c r="A793" s="73" t="s">
        <v>4</v>
      </c>
      <c r="B793" s="73"/>
      <c r="C793" s="74" t="s">
        <v>20</v>
      </c>
      <c r="E793" s="73" t="s">
        <v>4</v>
      </c>
      <c r="F793" s="73"/>
      <c r="G793" s="178" t="s">
        <v>6</v>
      </c>
      <c r="H793" s="123" t="s">
        <v>7</v>
      </c>
      <c r="I793" s="178" t="s">
        <v>6</v>
      </c>
      <c r="J793" s="123" t="s">
        <v>7</v>
      </c>
      <c r="K793" s="123"/>
      <c r="L793" s="178" t="s">
        <v>6</v>
      </c>
      <c r="M793" s="123" t="s">
        <v>8</v>
      </c>
    </row>
    <row r="794" spans="1:13" ht="12">
      <c r="A794" s="15" t="s">
        <v>1</v>
      </c>
      <c r="B794" s="15"/>
      <c r="C794" s="15" t="s">
        <v>1</v>
      </c>
      <c r="D794" s="15" t="s">
        <v>1</v>
      </c>
      <c r="E794" s="15" t="s">
        <v>1</v>
      </c>
      <c r="F794" s="15"/>
      <c r="G794" s="15" t="s">
        <v>1</v>
      </c>
      <c r="H794" s="15" t="s">
        <v>1</v>
      </c>
      <c r="I794" s="15" t="s">
        <v>1</v>
      </c>
      <c r="J794" s="15" t="s">
        <v>1</v>
      </c>
      <c r="K794" s="15"/>
      <c r="L794" s="15" t="s">
        <v>1</v>
      </c>
      <c r="M794" s="176" t="s">
        <v>1</v>
      </c>
    </row>
    <row r="795" spans="1:13" ht="12">
      <c r="A795" s="41">
        <v>1</v>
      </c>
      <c r="B795" s="41"/>
      <c r="C795" s="4" t="s">
        <v>36</v>
      </c>
      <c r="E795" s="41">
        <v>1</v>
      </c>
      <c r="F795" s="41"/>
      <c r="G795" s="180">
        <f>42.8+44.47</f>
        <v>87.27</v>
      </c>
      <c r="H795" s="179">
        <f>4169910.49+4286721</f>
        <v>8456631.49</v>
      </c>
      <c r="I795" s="180">
        <f>52.3+62.02</f>
        <v>114.32</v>
      </c>
      <c r="J795" s="179">
        <f>5251985.39+4706279</f>
        <v>9958264.39</v>
      </c>
      <c r="K795" s="179"/>
      <c r="L795" s="180">
        <f>50.4+67.59</f>
        <v>117.99000000000001</v>
      </c>
      <c r="M795" s="179">
        <f>5323786+5834893</f>
        <v>11158679</v>
      </c>
    </row>
    <row r="796" spans="1:13" ht="12">
      <c r="A796" s="41">
        <v>2</v>
      </c>
      <c r="B796" s="41"/>
      <c r="C796" s="4" t="s">
        <v>37</v>
      </c>
      <c r="E796" s="41">
        <v>2</v>
      </c>
      <c r="F796" s="41"/>
      <c r="G796" s="180"/>
      <c r="H796" s="179">
        <f>894703.92+753455</f>
        <v>1648158.92</v>
      </c>
      <c r="I796" s="180"/>
      <c r="J796" s="179">
        <f>1282826.43+869153</f>
        <v>2151979.4299999997</v>
      </c>
      <c r="K796" s="179"/>
      <c r="L796" s="180"/>
      <c r="M796" s="179">
        <f>2094766+898859</f>
        <v>2993625</v>
      </c>
    </row>
    <row r="797" spans="1:13" ht="12">
      <c r="A797" s="41">
        <v>3</v>
      </c>
      <c r="B797" s="41"/>
      <c r="E797" s="41">
        <v>3</v>
      </c>
      <c r="F797" s="41"/>
      <c r="G797" s="180"/>
      <c r="H797" s="179"/>
      <c r="I797" s="180"/>
      <c r="J797" s="179"/>
      <c r="K797" s="179"/>
      <c r="L797" s="180"/>
      <c r="M797" s="179"/>
    </row>
    <row r="798" spans="1:13" ht="12">
      <c r="A798" s="41">
        <v>4</v>
      </c>
      <c r="B798" s="41"/>
      <c r="C798" s="4" t="s">
        <v>23</v>
      </c>
      <c r="E798" s="41">
        <v>4</v>
      </c>
      <c r="F798" s="41"/>
      <c r="G798" s="89">
        <f>G795</f>
        <v>87.27</v>
      </c>
      <c r="H798" s="86">
        <f>SUM(H795:H796)</f>
        <v>10104790.41</v>
      </c>
      <c r="I798" s="89">
        <f>I795</f>
        <v>114.32</v>
      </c>
      <c r="J798" s="86">
        <f>SUM(J795:J796)</f>
        <v>12110243.82</v>
      </c>
      <c r="K798" s="86"/>
      <c r="L798" s="89">
        <f>L795</f>
        <v>117.99000000000001</v>
      </c>
      <c r="M798" s="86">
        <f>SUM(M795:M796)</f>
        <v>14152304</v>
      </c>
    </row>
    <row r="799" spans="1:13" ht="12">
      <c r="A799" s="41">
        <v>5</v>
      </c>
      <c r="B799" s="41"/>
      <c r="E799" s="41">
        <v>5</v>
      </c>
      <c r="F799" s="41"/>
      <c r="G799" s="89"/>
      <c r="H799" s="86"/>
      <c r="I799" s="89"/>
      <c r="J799" s="86"/>
      <c r="K799" s="86"/>
      <c r="L799" s="182"/>
      <c r="M799" s="86"/>
    </row>
    <row r="800" spans="1:13" ht="12">
      <c r="A800" s="41">
        <v>6</v>
      </c>
      <c r="B800" s="41"/>
      <c r="E800" s="41">
        <v>6</v>
      </c>
      <c r="F800" s="41"/>
      <c r="G800" s="89"/>
      <c r="H800" s="86"/>
      <c r="I800" s="89"/>
      <c r="J800" s="86"/>
      <c r="K800" s="86"/>
      <c r="L800" s="89"/>
      <c r="M800" s="86"/>
    </row>
    <row r="801" spans="1:13" ht="12">
      <c r="A801" s="41">
        <v>7</v>
      </c>
      <c r="B801" s="41"/>
      <c r="C801" s="4" t="s">
        <v>25</v>
      </c>
      <c r="E801" s="41">
        <v>7</v>
      </c>
      <c r="F801" s="41"/>
      <c r="G801" s="180">
        <f>144.5+102.9</f>
        <v>247.4</v>
      </c>
      <c r="H801" s="179">
        <f>7220663.1+5603891</f>
        <v>12824554.1</v>
      </c>
      <c r="I801" s="180">
        <f>135.4+93.96</f>
        <v>229.36</v>
      </c>
      <c r="J801" s="179">
        <f>6949463.03+5617837</f>
        <v>12567300.030000001</v>
      </c>
      <c r="K801" s="179"/>
      <c r="L801" s="180">
        <f>135.9+86.09</f>
        <v>221.99</v>
      </c>
      <c r="M801" s="179">
        <f>7333540+5480059</f>
        <v>12813599</v>
      </c>
    </row>
    <row r="802" spans="1:13" ht="12">
      <c r="A802" s="41">
        <v>8</v>
      </c>
      <c r="B802" s="41"/>
      <c r="C802" s="4" t="s">
        <v>26</v>
      </c>
      <c r="E802" s="41">
        <v>8</v>
      </c>
      <c r="F802" s="41"/>
      <c r="G802" s="180"/>
      <c r="H802" s="179">
        <f>1451672.58+1110444</f>
        <v>2562116.58</v>
      </c>
      <c r="I802" s="180"/>
      <c r="J802" s="179">
        <f>1464895.86+1197475</f>
        <v>2662370.8600000003</v>
      </c>
      <c r="K802" s="179"/>
      <c r="L802" s="180"/>
      <c r="M802" s="179">
        <f>2026677+1279288</f>
        <v>3305965</v>
      </c>
    </row>
    <row r="803" spans="1:13" ht="12">
      <c r="A803" s="41">
        <v>9</v>
      </c>
      <c r="B803" s="41"/>
      <c r="C803" s="4" t="s">
        <v>27</v>
      </c>
      <c r="E803" s="41">
        <v>9</v>
      </c>
      <c r="F803" s="41"/>
      <c r="G803" s="89">
        <f>G801</f>
        <v>247.4</v>
      </c>
      <c r="H803" s="86">
        <f>SUM(H801:H802)</f>
        <v>15386670.68</v>
      </c>
      <c r="I803" s="89">
        <f>I801</f>
        <v>229.36</v>
      </c>
      <c r="J803" s="86">
        <f>SUM(J801:J802)</f>
        <v>15229670.89</v>
      </c>
      <c r="K803" s="86"/>
      <c r="L803" s="89">
        <f>L801</f>
        <v>221.99</v>
      </c>
      <c r="M803" s="86">
        <f>SUM(M801:M802)</f>
        <v>16119564</v>
      </c>
    </row>
    <row r="804" spans="1:6" ht="12">
      <c r="A804" s="41">
        <v>10</v>
      </c>
      <c r="B804" s="41"/>
      <c r="E804" s="41">
        <v>10</v>
      </c>
      <c r="F804" s="41"/>
    </row>
    <row r="805" spans="1:13" ht="12">
      <c r="A805" s="41">
        <v>11</v>
      </c>
      <c r="B805" s="41"/>
      <c r="C805" s="4" t="s">
        <v>28</v>
      </c>
      <c r="E805" s="41">
        <v>11</v>
      </c>
      <c r="F805" s="41"/>
      <c r="G805" s="89">
        <f aca="true" t="shared" si="35" ref="G805:M805">SUM(G803,G798)</f>
        <v>334.67</v>
      </c>
      <c r="H805" s="86">
        <f t="shared" si="35"/>
        <v>25491461.09</v>
      </c>
      <c r="I805" s="89">
        <f t="shared" si="35"/>
        <v>343.68</v>
      </c>
      <c r="J805" s="86">
        <f t="shared" si="35"/>
        <v>27339914.71</v>
      </c>
      <c r="K805" s="86"/>
      <c r="L805" s="89">
        <f t="shared" si="35"/>
        <v>339.98</v>
      </c>
      <c r="M805" s="86">
        <f t="shared" si="35"/>
        <v>30271868</v>
      </c>
    </row>
    <row r="806" spans="1:6" ht="12">
      <c r="A806" s="41">
        <v>12</v>
      </c>
      <c r="B806" s="41"/>
      <c r="E806" s="41">
        <v>12</v>
      </c>
      <c r="F806" s="41"/>
    </row>
    <row r="807" spans="1:13" ht="12">
      <c r="A807" s="41">
        <v>13</v>
      </c>
      <c r="B807" s="41"/>
      <c r="C807" s="4" t="s">
        <v>38</v>
      </c>
      <c r="E807" s="41">
        <v>13</v>
      </c>
      <c r="F807" s="41"/>
      <c r="G807" s="180">
        <f>8.2+5.6</f>
        <v>13.799999999999999</v>
      </c>
      <c r="H807" s="179">
        <f>152866.98+1580.2+105571+447</f>
        <v>260465.18000000002</v>
      </c>
      <c r="I807" s="180">
        <f>6.5+6.36</f>
        <v>12.86</v>
      </c>
      <c r="J807" s="179">
        <f>149.69+120896.73+11.08+483.59+119083+533</f>
        <v>241157.09</v>
      </c>
      <c r="K807" s="179"/>
      <c r="L807" s="180">
        <f>5.8+7.01</f>
        <v>12.809999999999999</v>
      </c>
      <c r="M807" s="179">
        <f>108258+511+131180+5705</f>
        <v>245654</v>
      </c>
    </row>
    <row r="808" spans="1:13" ht="12">
      <c r="A808" s="41">
        <v>14</v>
      </c>
      <c r="B808" s="41"/>
      <c r="E808" s="41">
        <v>14</v>
      </c>
      <c r="F808" s="41"/>
      <c r="G808" s="180"/>
      <c r="H808" s="27"/>
      <c r="I808" s="180"/>
      <c r="J808" s="27"/>
      <c r="K808" s="27"/>
      <c r="L808" s="180"/>
      <c r="M808" s="27"/>
    </row>
    <row r="809" spans="1:13" ht="12">
      <c r="A809" s="41">
        <v>15</v>
      </c>
      <c r="B809" s="41"/>
      <c r="C809" s="4" t="s">
        <v>30</v>
      </c>
      <c r="E809" s="41">
        <v>15</v>
      </c>
      <c r="F809" s="41"/>
      <c r="G809" s="180"/>
      <c r="H809" s="179">
        <f>114061.72</f>
        <v>114061.72</v>
      </c>
      <c r="I809" s="180"/>
      <c r="J809" s="179">
        <f>142739.27</f>
        <v>142739.27</v>
      </c>
      <c r="K809" s="179"/>
      <c r="L809" s="180"/>
      <c r="M809" s="179">
        <f>142571</f>
        <v>142571</v>
      </c>
    </row>
    <row r="810" spans="1:13" ht="12">
      <c r="A810" s="41">
        <v>16</v>
      </c>
      <c r="B810" s="41"/>
      <c r="C810" s="4" t="s">
        <v>31</v>
      </c>
      <c r="E810" s="41">
        <v>16</v>
      </c>
      <c r="F810" s="41"/>
      <c r="G810" s="180"/>
      <c r="H810" s="179">
        <f>3435007.89</f>
        <v>3435007.89</v>
      </c>
      <c r="I810" s="180"/>
      <c r="J810" s="179">
        <f>2049373.05</f>
        <v>2049373.05</v>
      </c>
      <c r="K810" s="179"/>
      <c r="L810" s="180"/>
      <c r="M810" s="179">
        <f>2094279</f>
        <v>2094279</v>
      </c>
    </row>
    <row r="811" spans="1:13" ht="12">
      <c r="A811" s="41">
        <v>17</v>
      </c>
      <c r="B811" s="41"/>
      <c r="C811" s="4" t="s">
        <v>428</v>
      </c>
      <c r="E811" s="41">
        <v>17</v>
      </c>
      <c r="F811" s="41"/>
      <c r="G811" s="180"/>
      <c r="H811" s="179"/>
      <c r="I811" s="180"/>
      <c r="J811" s="179"/>
      <c r="K811" s="179"/>
      <c r="L811" s="180"/>
      <c r="M811" s="179"/>
    </row>
    <row r="812" spans="1:13" ht="12">
      <c r="A812" s="41">
        <v>18</v>
      </c>
      <c r="B812" s="41"/>
      <c r="C812" s="5" t="s">
        <v>440</v>
      </c>
      <c r="E812" s="41">
        <v>18</v>
      </c>
      <c r="F812" s="41"/>
      <c r="G812" s="180"/>
      <c r="H812" s="179"/>
      <c r="I812" s="180"/>
      <c r="J812" s="179"/>
      <c r="K812" s="179"/>
      <c r="L812" s="180"/>
      <c r="M812" s="179"/>
    </row>
    <row r="813" spans="1:13" ht="12">
      <c r="A813" s="41">
        <v>19</v>
      </c>
      <c r="B813" s="41"/>
      <c r="C813" s="4" t="s">
        <v>42</v>
      </c>
      <c r="E813" s="41">
        <v>19</v>
      </c>
      <c r="F813" s="41"/>
      <c r="G813" s="180"/>
      <c r="H813" s="179"/>
      <c r="I813" s="180"/>
      <c r="J813" s="179"/>
      <c r="K813" s="179"/>
      <c r="L813" s="180"/>
      <c r="M813" s="179"/>
    </row>
    <row r="814" spans="1:13" ht="12">
      <c r="A814" s="41">
        <v>20</v>
      </c>
      <c r="B814" s="41"/>
      <c r="E814" s="41">
        <v>20</v>
      </c>
      <c r="F814" s="41"/>
      <c r="G814" s="24"/>
      <c r="H814" s="24"/>
      <c r="I814" s="24"/>
      <c r="J814" s="24"/>
      <c r="K814" s="24"/>
      <c r="L814" s="24"/>
      <c r="M814" s="24"/>
    </row>
    <row r="815" spans="1:13" ht="12">
      <c r="A815" s="41">
        <v>21</v>
      </c>
      <c r="B815" s="41"/>
      <c r="E815" s="41">
        <v>21</v>
      </c>
      <c r="F815" s="41"/>
      <c r="H815" s="24"/>
      <c r="I815" s="24"/>
      <c r="J815" s="86"/>
      <c r="K815" s="86"/>
      <c r="L815" s="24"/>
      <c r="M815" s="86"/>
    </row>
    <row r="816" spans="1:13" ht="12">
      <c r="A816" s="41">
        <v>22</v>
      </c>
      <c r="B816" s="41"/>
      <c r="E816" s="41">
        <v>22</v>
      </c>
      <c r="F816" s="41"/>
      <c r="H816" s="24"/>
      <c r="I816" s="89"/>
      <c r="J816" s="86"/>
      <c r="K816" s="86"/>
      <c r="L816" s="89"/>
      <c r="M816" s="86"/>
    </row>
    <row r="817" spans="1:13" ht="12">
      <c r="A817" s="41">
        <v>23</v>
      </c>
      <c r="B817" s="41"/>
      <c r="D817" s="47"/>
      <c r="E817" s="41">
        <v>23</v>
      </c>
      <c r="F817" s="41"/>
      <c r="H817" s="24"/>
      <c r="J817" s="86"/>
      <c r="K817" s="86"/>
      <c r="M817" s="86"/>
    </row>
    <row r="818" spans="1:13" ht="12">
      <c r="A818" s="41">
        <v>24</v>
      </c>
      <c r="B818" s="41"/>
      <c r="D818" s="47"/>
      <c r="E818" s="41">
        <v>24</v>
      </c>
      <c r="F818" s="41"/>
      <c r="H818" s="24"/>
      <c r="J818" s="86"/>
      <c r="K818" s="86"/>
      <c r="M818" s="86"/>
    </row>
    <row r="819" spans="7:13" ht="12">
      <c r="G819" s="24" t="s">
        <v>1</v>
      </c>
      <c r="H819" s="24" t="s">
        <v>1</v>
      </c>
      <c r="I819" s="24" t="s">
        <v>1</v>
      </c>
      <c r="J819" s="24" t="s">
        <v>1</v>
      </c>
      <c r="K819" s="24"/>
      <c r="L819" s="24" t="s">
        <v>1</v>
      </c>
      <c r="M819" s="24" t="s">
        <v>1</v>
      </c>
    </row>
    <row r="820" spans="1:13" ht="12">
      <c r="A820" s="41">
        <v>25</v>
      </c>
      <c r="B820" s="41"/>
      <c r="C820" s="4" t="s">
        <v>441</v>
      </c>
      <c r="E820" s="41">
        <v>25</v>
      </c>
      <c r="F820" s="41"/>
      <c r="G820" s="77">
        <f>G805</f>
        <v>334.67</v>
      </c>
      <c r="H820" s="25">
        <f>SUM(H805:H818)</f>
        <v>29300995.88</v>
      </c>
      <c r="I820" s="77">
        <f>I805</f>
        <v>343.68</v>
      </c>
      <c r="J820" s="25">
        <f>SUM(J805:J818)</f>
        <v>29773184.12</v>
      </c>
      <c r="K820" s="25"/>
      <c r="L820" s="77">
        <f>L805</f>
        <v>339.98</v>
      </c>
      <c r="M820" s="86">
        <f>SUM(M805:M818)</f>
        <v>32754372</v>
      </c>
    </row>
    <row r="821" spans="5:13" ht="12">
      <c r="E821" s="38"/>
      <c r="F821" s="38"/>
      <c r="G821" s="24" t="s">
        <v>1</v>
      </c>
      <c r="H821" s="24" t="s">
        <v>1</v>
      </c>
      <c r="I821" s="24" t="s">
        <v>1</v>
      </c>
      <c r="J821" s="24" t="s">
        <v>1</v>
      </c>
      <c r="K821" s="24"/>
      <c r="L821" s="24" t="s">
        <v>1</v>
      </c>
      <c r="M821" s="24" t="s">
        <v>1</v>
      </c>
    </row>
    <row r="822" spans="1:2" ht="12">
      <c r="A822" s="4"/>
      <c r="B822" s="4"/>
    </row>
    <row r="824" spans="1:13" ht="12">
      <c r="A824" s="68" t="s">
        <v>372</v>
      </c>
      <c r="B824" s="68"/>
      <c r="E824" s="38"/>
      <c r="F824" s="38"/>
      <c r="G824" s="71"/>
      <c r="H824" s="86"/>
      <c r="I824" s="71"/>
      <c r="J824" s="86"/>
      <c r="K824" s="86"/>
      <c r="L824" s="71"/>
      <c r="M824" s="189" t="s">
        <v>44</v>
      </c>
    </row>
    <row r="825" spans="1:13" ht="12">
      <c r="A825" s="428" t="s">
        <v>165</v>
      </c>
      <c r="B825" s="428"/>
      <c r="C825" s="428"/>
      <c r="D825" s="428"/>
      <c r="E825" s="428"/>
      <c r="F825" s="428"/>
      <c r="G825" s="428"/>
      <c r="H825" s="428"/>
      <c r="I825" s="428"/>
      <c r="J825" s="428"/>
      <c r="K825" s="428"/>
      <c r="L825" s="428"/>
      <c r="M825" s="428"/>
    </row>
    <row r="826" spans="1:13" ht="12">
      <c r="A826" s="68" t="s">
        <v>345</v>
      </c>
      <c r="B826" s="68"/>
      <c r="G826" s="7"/>
      <c r="H826" s="106"/>
      <c r="I826" s="106"/>
      <c r="J826" s="219"/>
      <c r="K826" s="219"/>
      <c r="L826" s="71"/>
      <c r="M826" s="190" t="s">
        <v>346</v>
      </c>
    </row>
    <row r="827" spans="1:13" ht="12">
      <c r="A827" s="15" t="s">
        <v>1</v>
      </c>
      <c r="B827" s="15"/>
      <c r="C827" s="15" t="s">
        <v>1</v>
      </c>
      <c r="D827" s="15" t="s">
        <v>1</v>
      </c>
      <c r="E827" s="15" t="s">
        <v>1</v>
      </c>
      <c r="F827" s="15"/>
      <c r="G827" s="15" t="s">
        <v>1</v>
      </c>
      <c r="H827" s="15" t="s">
        <v>1</v>
      </c>
      <c r="I827" s="15" t="s">
        <v>1</v>
      </c>
      <c r="J827" s="15" t="s">
        <v>1</v>
      </c>
      <c r="K827" s="15"/>
      <c r="L827" s="15" t="s">
        <v>1</v>
      </c>
      <c r="M827" s="15" t="s">
        <v>1</v>
      </c>
    </row>
    <row r="828" spans="1:13" ht="12">
      <c r="A828" s="73" t="s">
        <v>2</v>
      </c>
      <c r="B828" s="73"/>
      <c r="E828" s="73" t="s">
        <v>2</v>
      </c>
      <c r="F828" s="73"/>
      <c r="G828" s="178"/>
      <c r="H828" s="123" t="s">
        <v>172</v>
      </c>
      <c r="I828" s="175"/>
      <c r="J828" s="123" t="s">
        <v>280</v>
      </c>
      <c r="K828" s="123"/>
      <c r="L828" s="89"/>
      <c r="M828" s="123" t="s">
        <v>289</v>
      </c>
    </row>
    <row r="829" spans="1:13" ht="12">
      <c r="A829" s="73" t="s">
        <v>4</v>
      </c>
      <c r="B829" s="73"/>
      <c r="C829" s="74" t="s">
        <v>20</v>
      </c>
      <c r="E829" s="73" t="s">
        <v>4</v>
      </c>
      <c r="F829" s="73"/>
      <c r="G829" s="178" t="s">
        <v>6</v>
      </c>
      <c r="H829" s="123" t="s">
        <v>7</v>
      </c>
      <c r="I829" s="178" t="s">
        <v>6</v>
      </c>
      <c r="J829" s="123" t="s">
        <v>7</v>
      </c>
      <c r="K829" s="123"/>
      <c r="L829" s="178" t="s">
        <v>6</v>
      </c>
      <c r="M829" s="123" t="s">
        <v>8</v>
      </c>
    </row>
    <row r="830" spans="1:13" ht="12">
      <c r="A830" s="15" t="s">
        <v>1</v>
      </c>
      <c r="B830" s="15"/>
      <c r="C830" s="15" t="s">
        <v>1</v>
      </c>
      <c r="D830" s="15" t="s">
        <v>1</v>
      </c>
      <c r="E830" s="15" t="s">
        <v>1</v>
      </c>
      <c r="F830" s="15"/>
      <c r="G830" s="15" t="s">
        <v>1</v>
      </c>
      <c r="H830" s="15" t="s">
        <v>1</v>
      </c>
      <c r="I830" s="15" t="s">
        <v>1</v>
      </c>
      <c r="J830" s="15" t="s">
        <v>1</v>
      </c>
      <c r="K830" s="15"/>
      <c r="L830" s="15" t="s">
        <v>1</v>
      </c>
      <c r="M830" s="176" t="s">
        <v>1</v>
      </c>
    </row>
    <row r="831" spans="1:13" ht="12">
      <c r="A831" s="41">
        <v>1</v>
      </c>
      <c r="B831" s="41"/>
      <c r="C831" s="4" t="s">
        <v>36</v>
      </c>
      <c r="E831" s="41">
        <v>1</v>
      </c>
      <c r="F831" s="41"/>
      <c r="G831" s="180">
        <f>6.8</f>
        <v>6.8</v>
      </c>
      <c r="H831" s="179">
        <f>740218.05</f>
        <v>740218.05</v>
      </c>
      <c r="I831" s="180">
        <f>7.4</f>
        <v>7.4</v>
      </c>
      <c r="J831" s="179">
        <f>827047.18</f>
        <v>827047.18</v>
      </c>
      <c r="K831" s="179"/>
      <c r="L831" s="180">
        <f>7.4</f>
        <v>7.4</v>
      </c>
      <c r="M831" s="179">
        <f>876898</f>
        <v>876898</v>
      </c>
    </row>
    <row r="832" spans="1:13" ht="12">
      <c r="A832" s="41">
        <v>2</v>
      </c>
      <c r="B832" s="41"/>
      <c r="C832" s="4" t="s">
        <v>37</v>
      </c>
      <c r="E832" s="41">
        <v>2</v>
      </c>
      <c r="F832" s="41"/>
      <c r="G832" s="180"/>
      <c r="H832" s="179">
        <f>155509.32</f>
        <v>155509.32</v>
      </c>
      <c r="I832" s="180"/>
      <c r="J832" s="179">
        <f>206224.49</f>
        <v>206224.49</v>
      </c>
      <c r="K832" s="179"/>
      <c r="L832" s="180"/>
      <c r="M832" s="179">
        <f>239266</f>
        <v>239266</v>
      </c>
    </row>
    <row r="833" spans="1:13" ht="12">
      <c r="A833" s="41">
        <v>3</v>
      </c>
      <c r="B833" s="41"/>
      <c r="E833" s="41">
        <v>3</v>
      </c>
      <c r="F833" s="41"/>
      <c r="G833" s="180"/>
      <c r="H833" s="179"/>
      <c r="I833" s="180"/>
      <c r="J833" s="179"/>
      <c r="K833" s="179"/>
      <c r="L833" s="183"/>
      <c r="M833" s="179"/>
    </row>
    <row r="834" spans="1:13" ht="12">
      <c r="A834" s="41">
        <v>4</v>
      </c>
      <c r="B834" s="41"/>
      <c r="C834" s="4" t="s">
        <v>23</v>
      </c>
      <c r="E834" s="41">
        <v>4</v>
      </c>
      <c r="F834" s="41"/>
      <c r="G834" s="89">
        <f>G831</f>
        <v>6.8</v>
      </c>
      <c r="H834" s="86">
        <f>SUM(H831:H832)</f>
        <v>895727.3700000001</v>
      </c>
      <c r="I834" s="89">
        <f>I831</f>
        <v>7.4</v>
      </c>
      <c r="J834" s="86">
        <f>SUM(J831:J832)</f>
        <v>1033271.67</v>
      </c>
      <c r="K834" s="86"/>
      <c r="L834" s="89">
        <f>L831</f>
        <v>7.4</v>
      </c>
      <c r="M834" s="86">
        <f>SUM(M831:M832)</f>
        <v>1116164</v>
      </c>
    </row>
    <row r="835" spans="1:13" ht="12">
      <c r="A835" s="41">
        <v>5</v>
      </c>
      <c r="B835" s="41"/>
      <c r="E835" s="41">
        <v>5</v>
      </c>
      <c r="F835" s="41"/>
      <c r="G835" s="89"/>
      <c r="H835" s="86"/>
      <c r="I835" s="89"/>
      <c r="J835" s="86"/>
      <c r="K835" s="86"/>
      <c r="L835" s="182"/>
      <c r="M835" s="86"/>
    </row>
    <row r="836" spans="1:13" ht="12">
      <c r="A836" s="41">
        <v>6</v>
      </c>
      <c r="B836" s="41"/>
      <c r="E836" s="41">
        <v>6</v>
      </c>
      <c r="F836" s="41"/>
      <c r="G836" s="89"/>
      <c r="H836" s="86"/>
      <c r="I836" s="89"/>
      <c r="J836" s="86"/>
      <c r="K836" s="86"/>
      <c r="L836" s="89"/>
      <c r="M836" s="86"/>
    </row>
    <row r="837" spans="1:13" ht="12">
      <c r="A837" s="41">
        <v>7</v>
      </c>
      <c r="B837" s="41"/>
      <c r="C837" s="4" t="s">
        <v>25</v>
      </c>
      <c r="E837" s="41">
        <v>7</v>
      </c>
      <c r="F837" s="41"/>
      <c r="G837" s="180">
        <f>376.3</f>
        <v>376.3</v>
      </c>
      <c r="H837" s="179">
        <f>16359825.38</f>
        <v>16359825.38</v>
      </c>
      <c r="I837" s="180">
        <f>390.4</f>
        <v>390.4</v>
      </c>
      <c r="J837" s="179">
        <f>17430306.35</f>
        <v>17430306.35</v>
      </c>
      <c r="K837" s="179"/>
      <c r="L837" s="180">
        <f>390.7</f>
        <v>390.7</v>
      </c>
      <c r="M837" s="179">
        <f>18336302</f>
        <v>18336302</v>
      </c>
    </row>
    <row r="838" spans="1:13" ht="12">
      <c r="A838" s="41">
        <v>8</v>
      </c>
      <c r="B838" s="41"/>
      <c r="C838" s="4" t="s">
        <v>26</v>
      </c>
      <c r="E838" s="41">
        <v>8</v>
      </c>
      <c r="F838" s="41"/>
      <c r="G838" s="180"/>
      <c r="H838" s="179">
        <f>3193969.56</f>
        <v>3193969.56</v>
      </c>
      <c r="I838" s="180"/>
      <c r="J838" s="179">
        <f>3589910.02</f>
        <v>3589910.02</v>
      </c>
      <c r="K838" s="179"/>
      <c r="L838" s="180"/>
      <c r="M838" s="179">
        <f>4751588</f>
        <v>4751588</v>
      </c>
    </row>
    <row r="839" spans="1:13" ht="12">
      <c r="A839" s="41">
        <v>9</v>
      </c>
      <c r="B839" s="41"/>
      <c r="C839" s="4" t="s">
        <v>27</v>
      </c>
      <c r="E839" s="41">
        <v>9</v>
      </c>
      <c r="F839" s="41"/>
      <c r="G839" s="89">
        <f>G837</f>
        <v>376.3</v>
      </c>
      <c r="H839" s="86">
        <f>SUM(H837:H838)</f>
        <v>19553794.94</v>
      </c>
      <c r="I839" s="89">
        <f>I837</f>
        <v>390.4</v>
      </c>
      <c r="J839" s="86">
        <f>SUM(J837:J838)</f>
        <v>21020216.37</v>
      </c>
      <c r="K839" s="86"/>
      <c r="L839" s="89">
        <f>L837</f>
        <v>390.7</v>
      </c>
      <c r="M839" s="86">
        <f>SUM(M837:M838)</f>
        <v>23087890</v>
      </c>
    </row>
    <row r="840" spans="1:13" ht="12">
      <c r="A840" s="41">
        <v>10</v>
      </c>
      <c r="B840" s="41"/>
      <c r="E840" s="41">
        <v>10</v>
      </c>
      <c r="F840" s="41"/>
      <c r="G840" s="89"/>
      <c r="H840" s="86"/>
      <c r="I840" s="89"/>
      <c r="J840" s="86"/>
      <c r="K840" s="86"/>
      <c r="L840" s="89"/>
      <c r="M840" s="86"/>
    </row>
    <row r="841" spans="1:13" ht="12">
      <c r="A841" s="41">
        <v>11</v>
      </c>
      <c r="B841" s="41"/>
      <c r="C841" s="4" t="s">
        <v>28</v>
      </c>
      <c r="E841" s="41">
        <v>11</v>
      </c>
      <c r="F841" s="41"/>
      <c r="G841" s="89">
        <f aca="true" t="shared" si="36" ref="G841:M841">SUM(G839,G834)</f>
        <v>383.1</v>
      </c>
      <c r="H841" s="86">
        <f t="shared" si="36"/>
        <v>20449522.310000002</v>
      </c>
      <c r="I841" s="89">
        <f t="shared" si="36"/>
        <v>397.79999999999995</v>
      </c>
      <c r="J841" s="86">
        <f t="shared" si="36"/>
        <v>22053488.040000003</v>
      </c>
      <c r="K841" s="86"/>
      <c r="L841" s="89">
        <f t="shared" si="36"/>
        <v>398.09999999999997</v>
      </c>
      <c r="M841" s="86">
        <f t="shared" si="36"/>
        <v>24204054</v>
      </c>
    </row>
    <row r="842" spans="1:6" ht="12">
      <c r="A842" s="41">
        <v>12</v>
      </c>
      <c r="B842" s="41"/>
      <c r="E842" s="41">
        <v>12</v>
      </c>
      <c r="F842" s="41"/>
    </row>
    <row r="843" spans="1:13" ht="12">
      <c r="A843" s="41">
        <v>13</v>
      </c>
      <c r="B843" s="41"/>
      <c r="C843" s="4" t="s">
        <v>38</v>
      </c>
      <c r="E843" s="41">
        <v>13</v>
      </c>
      <c r="F843" s="41"/>
      <c r="G843" s="180">
        <f>0+28.6</f>
        <v>28.6</v>
      </c>
      <c r="H843" s="179">
        <f>453529.16+4081.78</f>
        <v>457610.94</v>
      </c>
      <c r="I843" s="180">
        <f>37.9</f>
        <v>37.9</v>
      </c>
      <c r="J843" s="179">
        <f>600252.66+2401.05</f>
        <v>602653.7100000001</v>
      </c>
      <c r="K843" s="179"/>
      <c r="L843" s="180">
        <f>39.2</f>
        <v>39.2</v>
      </c>
      <c r="M843" s="179">
        <f>623041</f>
        <v>623041</v>
      </c>
    </row>
    <row r="844" spans="1:13" ht="12">
      <c r="A844" s="41">
        <v>14</v>
      </c>
      <c r="B844" s="41"/>
      <c r="C844" s="4" t="s">
        <v>46</v>
      </c>
      <c r="E844" s="41">
        <v>21</v>
      </c>
      <c r="F844" s="41"/>
      <c r="G844" s="180"/>
      <c r="H844" s="179">
        <f>4532273.32</f>
        <v>4532273.32</v>
      </c>
      <c r="I844" s="180"/>
      <c r="J844" s="179">
        <f>4864746.02</f>
        <v>4864746.02</v>
      </c>
      <c r="K844" s="179"/>
      <c r="L844" s="180"/>
      <c r="M844" s="179">
        <f>5107983.321</f>
        <v>5107983.321</v>
      </c>
    </row>
    <row r="845" spans="1:13" ht="12">
      <c r="A845" s="41">
        <v>15</v>
      </c>
      <c r="B845" s="41"/>
      <c r="C845" s="4" t="s">
        <v>30</v>
      </c>
      <c r="E845" s="41">
        <v>15</v>
      </c>
      <c r="F845" s="41"/>
      <c r="G845" s="180"/>
      <c r="H845" s="179">
        <f>63846.67</f>
        <v>63846.67</v>
      </c>
      <c r="I845" s="180"/>
      <c r="J845" s="179">
        <f>69791.32</f>
        <v>69791.32</v>
      </c>
      <c r="K845" s="179"/>
      <c r="L845" s="180"/>
      <c r="M845" s="179">
        <f>67935</f>
        <v>67935</v>
      </c>
    </row>
    <row r="846" spans="1:13" ht="12">
      <c r="A846" s="41">
        <v>16</v>
      </c>
      <c r="B846" s="41"/>
      <c r="C846" s="4" t="s">
        <v>617</v>
      </c>
      <c r="E846" s="41">
        <v>17</v>
      </c>
      <c r="F846" s="41"/>
      <c r="G846" s="180"/>
      <c r="H846" s="179">
        <f>19239115.86</f>
        <v>19239115.86</v>
      </c>
      <c r="I846" s="180"/>
      <c r="J846" s="179">
        <f>18447041.25</f>
        <v>18447041.25</v>
      </c>
      <c r="K846" s="179"/>
      <c r="L846" s="180"/>
      <c r="M846" s="179">
        <f>19054337</f>
        <v>19054337</v>
      </c>
    </row>
    <row r="847" spans="1:13" ht="12">
      <c r="A847" s="41">
        <v>17</v>
      </c>
      <c r="B847" s="41"/>
      <c r="C847" s="4" t="s">
        <v>31</v>
      </c>
      <c r="E847" s="41">
        <v>18</v>
      </c>
      <c r="F847" s="41"/>
      <c r="G847" s="180"/>
      <c r="H847" s="179">
        <f>H844-4786867</f>
        <v>-254593.6799999997</v>
      </c>
      <c r="I847" s="180"/>
      <c r="J847" s="179">
        <f>J844-5158427</f>
        <v>-293680.98000000045</v>
      </c>
      <c r="K847" s="179"/>
      <c r="L847" s="180"/>
      <c r="M847" s="179">
        <f>6306687-M844</f>
        <v>1198703.6789999995</v>
      </c>
    </row>
    <row r="848" spans="1:13" ht="12">
      <c r="A848" s="41">
        <v>18</v>
      </c>
      <c r="B848" s="41"/>
      <c r="C848" s="4" t="s">
        <v>32</v>
      </c>
      <c r="E848" s="41">
        <v>18</v>
      </c>
      <c r="F848" s="41"/>
      <c r="G848" s="180"/>
      <c r="H848" s="179"/>
      <c r="I848" s="180"/>
      <c r="J848" s="179"/>
      <c r="K848" s="179"/>
      <c r="L848" s="180"/>
      <c r="M848" s="179"/>
    </row>
    <row r="849" spans="1:13" ht="12">
      <c r="A849" s="41">
        <v>19</v>
      </c>
      <c r="B849" s="41"/>
      <c r="C849" s="5" t="s">
        <v>42</v>
      </c>
      <c r="E849" s="41">
        <v>19</v>
      </c>
      <c r="F849" s="41"/>
      <c r="G849" s="180"/>
      <c r="H849" s="179"/>
      <c r="I849" s="180"/>
      <c r="J849" s="179"/>
      <c r="K849" s="179"/>
      <c r="L849" s="180"/>
      <c r="M849" s="179"/>
    </row>
    <row r="850" spans="1:13" ht="12">
      <c r="A850" s="41">
        <v>20</v>
      </c>
      <c r="B850" s="41"/>
      <c r="E850" s="41">
        <v>20</v>
      </c>
      <c r="F850" s="41"/>
      <c r="G850" s="24"/>
      <c r="H850" s="24"/>
      <c r="I850" s="24"/>
      <c r="J850" s="24"/>
      <c r="K850" s="24"/>
      <c r="L850" s="24"/>
      <c r="M850" s="24"/>
    </row>
    <row r="851" spans="1:13" ht="12">
      <c r="A851" s="41">
        <v>21</v>
      </c>
      <c r="B851" s="41"/>
      <c r="E851" s="41">
        <v>21</v>
      </c>
      <c r="F851" s="41"/>
      <c r="G851" s="24"/>
      <c r="H851" s="24"/>
      <c r="I851" s="24"/>
      <c r="J851" s="24"/>
      <c r="K851" s="24"/>
      <c r="L851" s="24"/>
      <c r="M851" s="24"/>
    </row>
    <row r="852" spans="1:13" ht="12">
      <c r="A852" s="41">
        <v>22</v>
      </c>
      <c r="B852" s="41"/>
      <c r="E852" s="41">
        <v>22</v>
      </c>
      <c r="F852" s="41"/>
      <c r="G852" s="24"/>
      <c r="H852" s="24"/>
      <c r="I852" s="24"/>
      <c r="J852" s="24"/>
      <c r="K852" s="24"/>
      <c r="L852" s="24"/>
      <c r="M852" s="24"/>
    </row>
    <row r="853" spans="1:13" ht="12">
      <c r="A853" s="41">
        <v>23</v>
      </c>
      <c r="B853" s="41"/>
      <c r="E853" s="41">
        <v>23</v>
      </c>
      <c r="F853" s="41"/>
      <c r="G853" s="24"/>
      <c r="H853" s="24"/>
      <c r="I853" s="24"/>
      <c r="J853" s="24"/>
      <c r="K853" s="24"/>
      <c r="L853" s="24"/>
      <c r="M853" s="24"/>
    </row>
    <row r="854" spans="1:13" ht="12">
      <c r="A854" s="41">
        <v>24</v>
      </c>
      <c r="B854" s="41"/>
      <c r="D854" s="47"/>
      <c r="E854" s="41">
        <v>24</v>
      </c>
      <c r="F854" s="41"/>
      <c r="G854" s="24" t="s">
        <v>1</v>
      </c>
      <c r="H854" s="24" t="s">
        <v>1</v>
      </c>
      <c r="I854" s="24" t="s">
        <v>1</v>
      </c>
      <c r="J854" s="24" t="s">
        <v>1</v>
      </c>
      <c r="K854" s="24"/>
      <c r="L854" s="24" t="s">
        <v>1</v>
      </c>
      <c r="M854" s="24" t="s">
        <v>1</v>
      </c>
    </row>
    <row r="855" spans="1:13" ht="5.25" customHeight="1">
      <c r="A855" s="41"/>
      <c r="B855" s="41"/>
      <c r="D855" s="47"/>
      <c r="E855" s="41"/>
      <c r="F855" s="41"/>
      <c r="G855" s="24"/>
      <c r="H855" s="24"/>
      <c r="I855" s="24"/>
      <c r="J855" s="24"/>
      <c r="K855" s="24"/>
      <c r="L855" s="24"/>
      <c r="M855" s="24"/>
    </row>
    <row r="856" spans="1:13" ht="11.25" customHeight="1">
      <c r="A856" s="41">
        <v>25</v>
      </c>
      <c r="B856" s="41"/>
      <c r="C856" s="4" t="s">
        <v>442</v>
      </c>
      <c r="E856" s="41"/>
      <c r="F856" s="41"/>
      <c r="G856" s="77">
        <f>G841</f>
        <v>383.1</v>
      </c>
      <c r="H856" s="25">
        <f>SUM(H841:H854)</f>
        <v>44487775.42000001</v>
      </c>
      <c r="I856" s="77">
        <f>I841</f>
        <v>397.79999999999995</v>
      </c>
      <c r="J856" s="25">
        <f>SUM(J841:J854)</f>
        <v>45744039.36</v>
      </c>
      <c r="K856" s="25"/>
      <c r="L856" s="77">
        <f>L841</f>
        <v>398.09999999999997</v>
      </c>
      <c r="M856" s="86">
        <f>SUM(M841:M854)</f>
        <v>50256054</v>
      </c>
    </row>
    <row r="857" spans="1:13" ht="12" hidden="1">
      <c r="A857" s="41"/>
      <c r="B857" s="41"/>
      <c r="C857" s="4"/>
      <c r="E857" s="41"/>
      <c r="F857" s="41"/>
      <c r="G857" s="77"/>
      <c r="H857" s="25"/>
      <c r="I857" s="77"/>
      <c r="J857" s="25"/>
      <c r="K857" s="25"/>
      <c r="L857" s="77"/>
      <c r="M857" s="86"/>
    </row>
    <row r="858" spans="1:13" ht="0.75" customHeight="1">
      <c r="A858" s="41"/>
      <c r="B858" s="41"/>
      <c r="C858" s="4"/>
      <c r="E858" s="41"/>
      <c r="F858" s="41"/>
      <c r="G858" s="77"/>
      <c r="H858" s="25"/>
      <c r="I858" s="77"/>
      <c r="J858" s="25"/>
      <c r="K858" s="25"/>
      <c r="L858" s="77"/>
      <c r="M858" s="86"/>
    </row>
    <row r="859" spans="1:13" ht="12">
      <c r="A859" s="5">
        <v>26</v>
      </c>
      <c r="C859" s="4" t="s">
        <v>47</v>
      </c>
      <c r="E859" s="5">
        <v>26</v>
      </c>
      <c r="G859" s="24" t="s">
        <v>1</v>
      </c>
      <c r="H859" s="24" t="s">
        <v>1</v>
      </c>
      <c r="I859" s="24" t="s">
        <v>1</v>
      </c>
      <c r="J859" s="24" t="s">
        <v>1</v>
      </c>
      <c r="K859" s="24"/>
      <c r="L859" s="24" t="s">
        <v>1</v>
      </c>
      <c r="M859" s="24" t="s">
        <v>1</v>
      </c>
    </row>
    <row r="860" spans="1:13" ht="12">
      <c r="A860" s="41">
        <v>27</v>
      </c>
      <c r="B860" s="41"/>
      <c r="C860" s="4" t="s">
        <v>48</v>
      </c>
      <c r="E860" s="41">
        <v>27</v>
      </c>
      <c r="F860" s="41"/>
      <c r="G860" s="71"/>
      <c r="H860" s="179">
        <f>4700810</f>
        <v>4700810</v>
      </c>
      <c r="I860" s="179"/>
      <c r="J860" s="179">
        <f>H871</f>
        <v>4702610</v>
      </c>
      <c r="K860" s="179"/>
      <c r="L860" s="179"/>
      <c r="M860" s="179">
        <f>J871</f>
        <v>4967888</v>
      </c>
    </row>
    <row r="861" spans="1:13" ht="12">
      <c r="A861" s="41">
        <v>28</v>
      </c>
      <c r="B861" s="41"/>
      <c r="C861" s="4" t="s">
        <v>443</v>
      </c>
      <c r="E861" s="41">
        <v>28</v>
      </c>
      <c r="F861" s="41"/>
      <c r="G861" s="71"/>
      <c r="H861" s="179"/>
      <c r="I861" s="179"/>
      <c r="J861" s="179"/>
      <c r="K861" s="179"/>
      <c r="L861" s="179"/>
      <c r="M861" s="179"/>
    </row>
    <row r="862" spans="1:13" ht="12">
      <c r="A862" s="41">
        <v>29</v>
      </c>
      <c r="B862" s="41"/>
      <c r="C862" s="27" t="s">
        <v>444</v>
      </c>
      <c r="E862" s="41">
        <v>29</v>
      </c>
      <c r="F862" s="41"/>
      <c r="G862" s="71"/>
      <c r="H862" s="179">
        <f>1800</f>
        <v>1800</v>
      </c>
      <c r="I862" s="179"/>
      <c r="L862" s="179"/>
      <c r="M862" s="179"/>
    </row>
    <row r="863" spans="1:12" ht="12">
      <c r="A863" s="41">
        <v>30</v>
      </c>
      <c r="B863" s="41"/>
      <c r="C863" s="27" t="s">
        <v>445</v>
      </c>
      <c r="E863" s="41">
        <v>30</v>
      </c>
      <c r="F863" s="41"/>
      <c r="G863" s="71"/>
      <c r="H863" s="179"/>
      <c r="I863" s="179"/>
      <c r="J863" s="179">
        <f>76371</f>
        <v>76371</v>
      </c>
      <c r="K863" s="179"/>
      <c r="L863" s="179"/>
    </row>
    <row r="864" spans="1:13" ht="12">
      <c r="A864" s="41">
        <v>31</v>
      </c>
      <c r="B864" s="41"/>
      <c r="C864" s="27" t="s">
        <v>446</v>
      </c>
      <c r="E864" s="41">
        <v>31</v>
      </c>
      <c r="F864" s="41"/>
      <c r="G864" s="71"/>
      <c r="H864" s="179"/>
      <c r="I864" s="179"/>
      <c r="J864" s="179">
        <f>181944</f>
        <v>181944</v>
      </c>
      <c r="K864" s="179"/>
      <c r="L864" s="179"/>
      <c r="M864" s="179"/>
    </row>
    <row r="865" spans="1:13" ht="12">
      <c r="A865" s="41">
        <f aca="true" t="shared" si="37" ref="A865:A873">(A864+1)</f>
        <v>32</v>
      </c>
      <c r="B865" s="41"/>
      <c r="C865" s="5" t="s">
        <v>447</v>
      </c>
      <c r="E865" s="41">
        <f aca="true" t="shared" si="38" ref="E865:E873">(E864+1)</f>
        <v>32</v>
      </c>
      <c r="F865" s="41"/>
      <c r="G865" s="71"/>
      <c r="H865" s="179"/>
      <c r="I865" s="179"/>
      <c r="J865" s="179">
        <f>8302</f>
        <v>8302</v>
      </c>
      <c r="K865" s="179"/>
      <c r="L865" s="179"/>
      <c r="M865" s="179"/>
    </row>
    <row r="866" spans="1:13" ht="12">
      <c r="A866" s="41">
        <f t="shared" si="37"/>
        <v>33</v>
      </c>
      <c r="B866" s="41"/>
      <c r="C866" s="5" t="s">
        <v>448</v>
      </c>
      <c r="E866" s="41">
        <f t="shared" si="38"/>
        <v>33</v>
      </c>
      <c r="F866" s="41"/>
      <c r="G866" s="71"/>
      <c r="H866" s="179"/>
      <c r="I866" s="179"/>
      <c r="J866" s="179"/>
      <c r="K866" s="179"/>
      <c r="L866" s="179"/>
      <c r="M866" s="179">
        <f>70600</f>
        <v>70600</v>
      </c>
    </row>
    <row r="867" spans="1:13" ht="12">
      <c r="A867" s="41">
        <f t="shared" si="37"/>
        <v>34</v>
      </c>
      <c r="B867" s="41"/>
      <c r="E867" s="41">
        <f t="shared" si="38"/>
        <v>34</v>
      </c>
      <c r="F867" s="41"/>
      <c r="G867" s="71"/>
      <c r="H867" s="179"/>
      <c r="I867" s="179"/>
      <c r="J867" s="179"/>
      <c r="K867" s="179"/>
      <c r="L867" s="179"/>
      <c r="M867" s="179"/>
    </row>
    <row r="868" spans="1:13" ht="12">
      <c r="A868" s="41">
        <f t="shared" si="37"/>
        <v>35</v>
      </c>
      <c r="B868" s="41"/>
      <c r="C868" s="4" t="s">
        <v>449</v>
      </c>
      <c r="E868" s="41">
        <f t="shared" si="38"/>
        <v>35</v>
      </c>
      <c r="F868" s="41"/>
      <c r="G868" s="71"/>
      <c r="H868" s="179"/>
      <c r="I868" s="179"/>
      <c r="L868" s="179"/>
      <c r="M868" s="179"/>
    </row>
    <row r="869" spans="1:13" ht="12">
      <c r="A869" s="41">
        <f t="shared" si="37"/>
        <v>36</v>
      </c>
      <c r="B869" s="41"/>
      <c r="C869" s="27" t="s">
        <v>450</v>
      </c>
      <c r="E869" s="41">
        <f t="shared" si="38"/>
        <v>36</v>
      </c>
      <c r="F869" s="41"/>
      <c r="G869" s="71"/>
      <c r="H869" s="179"/>
      <c r="I869" s="179"/>
      <c r="J869" s="179">
        <f>-1339</f>
        <v>-1339</v>
      </c>
      <c r="K869" s="179"/>
      <c r="L869" s="179"/>
      <c r="M869" s="179"/>
    </row>
    <row r="870" spans="1:13" ht="12">
      <c r="A870" s="41">
        <f t="shared" si="37"/>
        <v>37</v>
      </c>
      <c r="B870" s="41"/>
      <c r="E870" s="41">
        <f t="shared" si="38"/>
        <v>37</v>
      </c>
      <c r="F870" s="41"/>
      <c r="G870" s="71"/>
      <c r="H870" s="179"/>
      <c r="I870" s="179"/>
      <c r="J870" s="179"/>
      <c r="K870" s="179"/>
      <c r="L870" s="179"/>
      <c r="M870" s="179"/>
    </row>
    <row r="871" spans="1:13" ht="9.75" customHeight="1">
      <c r="A871" s="41">
        <f t="shared" si="37"/>
        <v>38</v>
      </c>
      <c r="B871" s="41"/>
      <c r="C871" s="4" t="s">
        <v>451</v>
      </c>
      <c r="E871" s="41">
        <f t="shared" si="38"/>
        <v>38</v>
      </c>
      <c r="F871" s="41"/>
      <c r="G871" s="71"/>
      <c r="H871" s="86">
        <f>SUM(H860:H869)</f>
        <v>4702610</v>
      </c>
      <c r="I871" s="86"/>
      <c r="J871" s="86">
        <f>SUM(J860:J869)</f>
        <v>4967888</v>
      </c>
      <c r="K871" s="86"/>
      <c r="L871" s="86"/>
      <c r="M871" s="86">
        <f>SUM(M860:M870)</f>
        <v>5038488</v>
      </c>
    </row>
    <row r="872" spans="1:13" ht="12">
      <c r="A872" s="41">
        <f t="shared" si="37"/>
        <v>39</v>
      </c>
      <c r="B872" s="41"/>
      <c r="E872" s="41">
        <f t="shared" si="38"/>
        <v>39</v>
      </c>
      <c r="F872" s="41"/>
      <c r="G872" s="71"/>
      <c r="H872" s="179"/>
      <c r="I872" s="86"/>
      <c r="J872" s="179"/>
      <c r="K872" s="179"/>
      <c r="L872" s="86"/>
      <c r="M872" s="179"/>
    </row>
    <row r="873" spans="1:13" ht="12">
      <c r="A873" s="41">
        <f t="shared" si="37"/>
        <v>40</v>
      </c>
      <c r="B873" s="41"/>
      <c r="C873" s="4" t="s">
        <v>52</v>
      </c>
      <c r="E873" s="41">
        <f t="shared" si="38"/>
        <v>40</v>
      </c>
      <c r="F873" s="41"/>
      <c r="G873" s="71"/>
      <c r="H873" s="179">
        <v>258</v>
      </c>
      <c r="I873" s="179"/>
      <c r="J873" s="179">
        <v>258</v>
      </c>
      <c r="K873" s="179"/>
      <c r="L873" s="179"/>
      <c r="M873" s="179">
        <v>258</v>
      </c>
    </row>
    <row r="874" spans="1:2" ht="12">
      <c r="A874" s="4"/>
      <c r="B874" s="4"/>
    </row>
    <row r="875" spans="1:13" ht="12">
      <c r="A875" s="68" t="s">
        <v>372</v>
      </c>
      <c r="B875" s="68"/>
      <c r="E875" s="38"/>
      <c r="F875" s="38"/>
      <c r="G875" s="71"/>
      <c r="H875" s="86"/>
      <c r="I875" s="71"/>
      <c r="J875" s="86"/>
      <c r="K875" s="86"/>
      <c r="L875" s="71"/>
      <c r="M875" s="189" t="s">
        <v>53</v>
      </c>
    </row>
    <row r="876" spans="1:13" ht="12">
      <c r="A876" s="428" t="s">
        <v>452</v>
      </c>
      <c r="B876" s="428"/>
      <c r="C876" s="428"/>
      <c r="D876" s="428"/>
      <c r="E876" s="428"/>
      <c r="F876" s="428"/>
      <c r="G876" s="428"/>
      <c r="H876" s="428"/>
      <c r="I876" s="428"/>
      <c r="J876" s="428"/>
      <c r="K876" s="428"/>
      <c r="L876" s="428"/>
      <c r="M876" s="428"/>
    </row>
    <row r="877" spans="1:13" ht="12">
      <c r="A877" s="68" t="s">
        <v>345</v>
      </c>
      <c r="B877" s="68"/>
      <c r="G877" s="71"/>
      <c r="H877" s="7"/>
      <c r="I877" s="106"/>
      <c r="J877" s="219"/>
      <c r="K877" s="219"/>
      <c r="L877" s="71"/>
      <c r="M877" s="190" t="s">
        <v>346</v>
      </c>
    </row>
    <row r="878" spans="1:13" ht="12">
      <c r="A878" s="15" t="s">
        <v>1</v>
      </c>
      <c r="B878" s="15"/>
      <c r="C878" s="15" t="s">
        <v>1</v>
      </c>
      <c r="D878" s="15" t="s">
        <v>1</v>
      </c>
      <c r="E878" s="15" t="s">
        <v>1</v>
      </c>
      <c r="F878" s="15"/>
      <c r="G878" s="15" t="s">
        <v>1</v>
      </c>
      <c r="H878" s="15" t="s">
        <v>1</v>
      </c>
      <c r="I878" s="15" t="s">
        <v>1</v>
      </c>
      <c r="J878" s="15" t="s">
        <v>1</v>
      </c>
      <c r="K878" s="15"/>
      <c r="L878" s="15" t="s">
        <v>1</v>
      </c>
      <c r="M878" s="15" t="s">
        <v>1</v>
      </c>
    </row>
    <row r="879" spans="1:13" ht="12">
      <c r="A879" s="73" t="s">
        <v>2</v>
      </c>
      <c r="B879" s="73"/>
      <c r="E879" s="73" t="s">
        <v>2</v>
      </c>
      <c r="F879" s="73"/>
      <c r="G879" s="71"/>
      <c r="H879" s="123" t="s">
        <v>172</v>
      </c>
      <c r="I879" s="89"/>
      <c r="J879" s="123" t="s">
        <v>280</v>
      </c>
      <c r="K879" s="123"/>
      <c r="L879" s="89"/>
      <c r="M879" s="123" t="s">
        <v>289</v>
      </c>
    </row>
    <row r="880" spans="1:13" ht="12">
      <c r="A880" s="73" t="s">
        <v>4</v>
      </c>
      <c r="B880" s="73"/>
      <c r="C880" s="74" t="s">
        <v>20</v>
      </c>
      <c r="E880" s="73" t="s">
        <v>4</v>
      </c>
      <c r="F880" s="73"/>
      <c r="G880" s="71"/>
      <c r="H880" s="123" t="s">
        <v>453</v>
      </c>
      <c r="I880" s="71"/>
      <c r="J880" s="123" t="s">
        <v>7</v>
      </c>
      <c r="K880" s="123"/>
      <c r="L880" s="71"/>
      <c r="M880" s="123" t="s">
        <v>8</v>
      </c>
    </row>
    <row r="881" spans="1:13" ht="12">
      <c r="A881" s="15" t="s">
        <v>1</v>
      </c>
      <c r="B881" s="15"/>
      <c r="C881" s="15" t="s">
        <v>1</v>
      </c>
      <c r="D881" s="15" t="s">
        <v>1</v>
      </c>
      <c r="E881" s="15" t="s">
        <v>1</v>
      </c>
      <c r="F881" s="15"/>
      <c r="G881" s="15" t="s">
        <v>1</v>
      </c>
      <c r="H881" s="15" t="s">
        <v>1</v>
      </c>
      <c r="I881" s="15" t="s">
        <v>1</v>
      </c>
      <c r="J881" s="15" t="s">
        <v>1</v>
      </c>
      <c r="K881" s="15"/>
      <c r="L881" s="15" t="s">
        <v>1</v>
      </c>
      <c r="M881" s="176" t="s">
        <v>1</v>
      </c>
    </row>
    <row r="882" spans="1:13" ht="12">
      <c r="A882" s="41">
        <v>1</v>
      </c>
      <c r="B882" s="41"/>
      <c r="C882" s="4" t="s">
        <v>354</v>
      </c>
      <c r="E882" s="41">
        <v>1</v>
      </c>
      <c r="F882" s="41"/>
      <c r="G882" s="89"/>
      <c r="H882" s="17">
        <f>26271359</f>
        <v>26271359</v>
      </c>
      <c r="I882" s="185"/>
      <c r="J882" s="17">
        <f>23556771.54</f>
        <v>23556771.54</v>
      </c>
      <c r="K882" s="17"/>
      <c r="L882" s="180"/>
      <c r="M882" s="179">
        <f>30459707</f>
        <v>30459707</v>
      </c>
    </row>
    <row r="883" spans="1:13" ht="12">
      <c r="A883" s="41">
        <f aca="true" t="shared" si="39" ref="A883:A900">(A882+1)</f>
        <v>2</v>
      </c>
      <c r="B883" s="41"/>
      <c r="C883" s="27"/>
      <c r="E883" s="41">
        <f aca="true" t="shared" si="40" ref="E883:E900">(E882+1)</f>
        <v>2</v>
      </c>
      <c r="F883" s="41"/>
      <c r="G883" s="89"/>
      <c r="H883" s="179"/>
      <c r="I883" s="180"/>
      <c r="J883" s="179"/>
      <c r="K883" s="179"/>
      <c r="L883" s="180"/>
      <c r="M883" s="179"/>
    </row>
    <row r="884" spans="1:13" ht="12">
      <c r="A884" s="41">
        <f t="shared" si="39"/>
        <v>3</v>
      </c>
      <c r="B884" s="41"/>
      <c r="E884" s="41">
        <f t="shared" si="40"/>
        <v>3</v>
      </c>
      <c r="F884" s="41"/>
      <c r="G884" s="89"/>
      <c r="H884" s="179"/>
      <c r="I884" s="180"/>
      <c r="J884" s="17"/>
      <c r="K884" s="17"/>
      <c r="L884" s="180"/>
      <c r="M884" s="179"/>
    </row>
    <row r="885" spans="1:13" ht="12">
      <c r="A885" s="41">
        <f t="shared" si="39"/>
        <v>4</v>
      </c>
      <c r="B885" s="41"/>
      <c r="C885" s="27"/>
      <c r="E885" s="41">
        <f t="shared" si="40"/>
        <v>4</v>
      </c>
      <c r="F885" s="41"/>
      <c r="G885" s="89"/>
      <c r="H885" s="179"/>
      <c r="I885" s="180"/>
      <c r="J885" s="180"/>
      <c r="K885" s="180"/>
      <c r="L885" s="180"/>
      <c r="M885" s="179"/>
    </row>
    <row r="886" spans="1:13" ht="12">
      <c r="A886" s="41">
        <f t="shared" si="39"/>
        <v>5</v>
      </c>
      <c r="B886" s="41"/>
      <c r="C886" s="27"/>
      <c r="E886" s="41">
        <f t="shared" si="40"/>
        <v>5</v>
      </c>
      <c r="F886" s="41"/>
      <c r="G886" s="89"/>
      <c r="H886" s="179"/>
      <c r="I886" s="180"/>
      <c r="J886" s="185"/>
      <c r="K886" s="185"/>
      <c r="L886" s="180"/>
      <c r="M886" s="179"/>
    </row>
    <row r="887" spans="1:13" ht="12">
      <c r="A887" s="41">
        <f t="shared" si="39"/>
        <v>6</v>
      </c>
      <c r="B887" s="41"/>
      <c r="E887" s="41">
        <f t="shared" si="40"/>
        <v>6</v>
      </c>
      <c r="F887" s="41"/>
      <c r="G887" s="89"/>
      <c r="H887" s="179"/>
      <c r="I887" s="180"/>
      <c r="L887" s="180"/>
      <c r="M887" s="179"/>
    </row>
    <row r="888" spans="1:13" ht="12">
      <c r="A888" s="41">
        <f t="shared" si="39"/>
        <v>7</v>
      </c>
      <c r="B888" s="41"/>
      <c r="C888" s="27"/>
      <c r="E888" s="41">
        <f t="shared" si="40"/>
        <v>7</v>
      </c>
      <c r="F888" s="41"/>
      <c r="G888" s="89"/>
      <c r="H888" s="179"/>
      <c r="I888" s="180"/>
      <c r="J888" s="179"/>
      <c r="K888" s="179"/>
      <c r="L888" s="180"/>
      <c r="M888" s="179"/>
    </row>
    <row r="889" spans="1:13" ht="12">
      <c r="A889" s="41">
        <f t="shared" si="39"/>
        <v>8</v>
      </c>
      <c r="B889" s="41"/>
      <c r="C889" s="27"/>
      <c r="E889" s="41">
        <f t="shared" si="40"/>
        <v>8</v>
      </c>
      <c r="F889" s="41"/>
      <c r="G889" s="89"/>
      <c r="H889" s="179"/>
      <c r="I889" s="180"/>
      <c r="J889" s="179"/>
      <c r="K889" s="179"/>
      <c r="L889" s="180"/>
      <c r="M889" s="179"/>
    </row>
    <row r="890" spans="1:13" ht="12">
      <c r="A890" s="41">
        <f t="shared" si="39"/>
        <v>9</v>
      </c>
      <c r="B890" s="41"/>
      <c r="C890" s="27"/>
      <c r="E890" s="41">
        <f t="shared" si="40"/>
        <v>9</v>
      </c>
      <c r="F890" s="41"/>
      <c r="G890" s="89"/>
      <c r="H890" s="179"/>
      <c r="I890" s="180"/>
      <c r="J890" s="179"/>
      <c r="K890" s="179"/>
      <c r="L890" s="180"/>
      <c r="M890" s="179"/>
    </row>
    <row r="891" spans="1:13" ht="12">
      <c r="A891" s="41">
        <f t="shared" si="39"/>
        <v>10</v>
      </c>
      <c r="B891" s="41"/>
      <c r="C891" s="27"/>
      <c r="E891" s="41">
        <f t="shared" si="40"/>
        <v>10</v>
      </c>
      <c r="F891" s="41"/>
      <c r="G891" s="89"/>
      <c r="H891" s="179"/>
      <c r="I891" s="180"/>
      <c r="J891" s="179"/>
      <c r="K891" s="179"/>
      <c r="L891" s="180"/>
      <c r="M891" s="179"/>
    </row>
    <row r="892" spans="1:13" ht="12">
      <c r="A892" s="41">
        <f t="shared" si="39"/>
        <v>11</v>
      </c>
      <c r="B892" s="41"/>
      <c r="C892" s="27"/>
      <c r="E892" s="41">
        <f t="shared" si="40"/>
        <v>11</v>
      </c>
      <c r="F892" s="41"/>
      <c r="G892" s="89"/>
      <c r="H892" s="179"/>
      <c r="I892" s="180"/>
      <c r="J892" s="179"/>
      <c r="K892" s="179"/>
      <c r="L892" s="180"/>
      <c r="M892" s="179"/>
    </row>
    <row r="893" spans="1:13" ht="12">
      <c r="A893" s="41">
        <f t="shared" si="39"/>
        <v>12</v>
      </c>
      <c r="B893" s="41"/>
      <c r="C893" s="27"/>
      <c r="E893" s="41">
        <f t="shared" si="40"/>
        <v>12</v>
      </c>
      <c r="F893" s="41"/>
      <c r="G893" s="89"/>
      <c r="H893" s="179"/>
      <c r="I893" s="180"/>
      <c r="J893" s="179"/>
      <c r="K893" s="179"/>
      <c r="L893" s="180"/>
      <c r="M893" s="179"/>
    </row>
    <row r="894" spans="1:13" ht="12">
      <c r="A894" s="41">
        <f t="shared" si="39"/>
        <v>13</v>
      </c>
      <c r="B894" s="41"/>
      <c r="C894" s="27"/>
      <c r="E894" s="41">
        <f t="shared" si="40"/>
        <v>13</v>
      </c>
      <c r="F894" s="41"/>
      <c r="G894" s="89"/>
      <c r="H894" s="179"/>
      <c r="I894" s="180"/>
      <c r="J894" s="179"/>
      <c r="K894" s="179"/>
      <c r="L894" s="180"/>
      <c r="M894" s="179"/>
    </row>
    <row r="895" spans="1:13" ht="12">
      <c r="A895" s="41">
        <f t="shared" si="39"/>
        <v>14</v>
      </c>
      <c r="B895" s="41"/>
      <c r="C895" s="27"/>
      <c r="E895" s="41">
        <f t="shared" si="40"/>
        <v>14</v>
      </c>
      <c r="F895" s="41"/>
      <c r="G895" s="89"/>
      <c r="H895" s="179"/>
      <c r="I895" s="180"/>
      <c r="J895" s="179"/>
      <c r="K895" s="179"/>
      <c r="L895" s="180"/>
      <c r="M895" s="179"/>
    </row>
    <row r="896" spans="1:13" ht="12">
      <c r="A896" s="41">
        <f t="shared" si="39"/>
        <v>15</v>
      </c>
      <c r="B896" s="41"/>
      <c r="C896" s="27"/>
      <c r="E896" s="41">
        <f t="shared" si="40"/>
        <v>15</v>
      </c>
      <c r="F896" s="41"/>
      <c r="G896" s="89"/>
      <c r="H896" s="179"/>
      <c r="I896" s="180"/>
      <c r="J896" s="179"/>
      <c r="K896" s="179"/>
      <c r="L896" s="180"/>
      <c r="M896" s="179"/>
    </row>
    <row r="897" spans="1:13" ht="12">
      <c r="A897" s="41">
        <f t="shared" si="39"/>
        <v>16</v>
      </c>
      <c r="B897" s="41"/>
      <c r="C897" s="27"/>
      <c r="E897" s="41">
        <f t="shared" si="40"/>
        <v>16</v>
      </c>
      <c r="F897" s="41"/>
      <c r="G897" s="89"/>
      <c r="H897" s="179"/>
      <c r="I897" s="180"/>
      <c r="J897" s="179"/>
      <c r="K897" s="179"/>
      <c r="L897" s="180"/>
      <c r="M897" s="179"/>
    </row>
    <row r="898" spans="1:13" ht="12">
      <c r="A898" s="41">
        <f t="shared" si="39"/>
        <v>17</v>
      </c>
      <c r="B898" s="41"/>
      <c r="C898" s="27"/>
      <c r="E898" s="41">
        <f t="shared" si="40"/>
        <v>17</v>
      </c>
      <c r="F898" s="41"/>
      <c r="G898" s="89"/>
      <c r="H898" s="179"/>
      <c r="I898" s="180"/>
      <c r="J898" s="179"/>
      <c r="K898" s="179"/>
      <c r="L898" s="180"/>
      <c r="M898" s="179"/>
    </row>
    <row r="899" spans="1:13" ht="12">
      <c r="A899" s="41">
        <f t="shared" si="39"/>
        <v>18</v>
      </c>
      <c r="B899" s="41"/>
      <c r="C899" s="27"/>
      <c r="E899" s="41">
        <f t="shared" si="40"/>
        <v>18</v>
      </c>
      <c r="F899" s="41"/>
      <c r="G899" s="89"/>
      <c r="H899" s="179"/>
      <c r="I899" s="180"/>
      <c r="J899" s="179"/>
      <c r="K899" s="179"/>
      <c r="L899" s="180"/>
      <c r="M899" s="179"/>
    </row>
    <row r="900" spans="1:13" ht="12">
      <c r="A900" s="41">
        <f t="shared" si="39"/>
        <v>19</v>
      </c>
      <c r="B900" s="41"/>
      <c r="C900" s="27"/>
      <c r="E900" s="41">
        <f t="shared" si="40"/>
        <v>19</v>
      </c>
      <c r="F900" s="41"/>
      <c r="G900" s="89"/>
      <c r="H900" s="179"/>
      <c r="I900" s="180"/>
      <c r="J900" s="179"/>
      <c r="K900" s="179"/>
      <c r="L900" s="180"/>
      <c r="M900" s="179"/>
    </row>
    <row r="901" spans="1:13" ht="12">
      <c r="A901" s="41">
        <v>20</v>
      </c>
      <c r="B901" s="41"/>
      <c r="E901" s="41">
        <v>20</v>
      </c>
      <c r="F901" s="41"/>
      <c r="G901" s="24"/>
      <c r="H901" s="24"/>
      <c r="I901" s="24"/>
      <c r="J901" s="24"/>
      <c r="K901" s="24"/>
      <c r="L901" s="24"/>
      <c r="M901" s="24"/>
    </row>
    <row r="902" spans="1:13" ht="12">
      <c r="A902" s="41">
        <v>21</v>
      </c>
      <c r="B902" s="41"/>
      <c r="E902" s="41">
        <v>21</v>
      </c>
      <c r="F902" s="41"/>
      <c r="H902" s="24"/>
      <c r="I902" s="24"/>
      <c r="J902" s="86"/>
      <c r="K902" s="86"/>
      <c r="L902" s="24"/>
      <c r="M902" s="86"/>
    </row>
    <row r="903" spans="1:13" ht="12">
      <c r="A903" s="41">
        <v>22</v>
      </c>
      <c r="B903" s="41"/>
      <c r="E903" s="41">
        <v>22</v>
      </c>
      <c r="F903" s="41"/>
      <c r="H903" s="24"/>
      <c r="I903" s="89"/>
      <c r="J903" s="86"/>
      <c r="K903" s="86"/>
      <c r="L903" s="89"/>
      <c r="M903" s="86"/>
    </row>
    <row r="904" spans="1:13" ht="12">
      <c r="A904" s="41">
        <v>23</v>
      </c>
      <c r="B904" s="41"/>
      <c r="D904" s="47"/>
      <c r="E904" s="41">
        <v>23</v>
      </c>
      <c r="F904" s="41"/>
      <c r="H904" s="24"/>
      <c r="J904" s="86"/>
      <c r="K904" s="86"/>
      <c r="M904" s="86"/>
    </row>
    <row r="905" spans="1:13" ht="12">
      <c r="A905" s="41">
        <v>24</v>
      </c>
      <c r="B905" s="41"/>
      <c r="D905" s="47"/>
      <c r="E905" s="41">
        <v>24</v>
      </c>
      <c r="F905" s="41"/>
      <c r="H905" s="24"/>
      <c r="J905" s="86"/>
      <c r="K905" s="86"/>
      <c r="M905" s="86"/>
    </row>
    <row r="906" spans="7:13" ht="12">
      <c r="G906" s="24" t="s">
        <v>1</v>
      </c>
      <c r="H906" s="24" t="s">
        <v>1</v>
      </c>
      <c r="I906" s="24" t="s">
        <v>1</v>
      </c>
      <c r="J906" s="24" t="s">
        <v>1</v>
      </c>
      <c r="K906" s="24"/>
      <c r="L906" s="24" t="s">
        <v>1</v>
      </c>
      <c r="M906" s="24" t="s">
        <v>1</v>
      </c>
    </row>
    <row r="907" spans="1:13" ht="12">
      <c r="A907" s="41">
        <v>25</v>
      </c>
      <c r="B907" s="41"/>
      <c r="C907" s="4" t="s">
        <v>454</v>
      </c>
      <c r="E907" s="41">
        <v>25</v>
      </c>
      <c r="F907" s="41"/>
      <c r="G907" s="71"/>
      <c r="H907" s="86">
        <f>SUM(H882:H905)</f>
        <v>26271359</v>
      </c>
      <c r="I907" s="71"/>
      <c r="J907" s="86">
        <f>SUM(J882:J905)</f>
        <v>23556771.54</v>
      </c>
      <c r="K907" s="86"/>
      <c r="L907" s="71"/>
      <c r="M907" s="86">
        <f>SUM(M882:M905)</f>
        <v>30459707</v>
      </c>
    </row>
    <row r="908" spans="4:13" ht="12">
      <c r="D908" s="47"/>
      <c r="E908" s="38"/>
      <c r="F908" s="38"/>
      <c r="G908" s="24" t="s">
        <v>1</v>
      </c>
      <c r="H908" s="24" t="s">
        <v>1</v>
      </c>
      <c r="I908" s="24" t="s">
        <v>1</v>
      </c>
      <c r="J908" s="24" t="s">
        <v>1</v>
      </c>
      <c r="K908" s="24"/>
      <c r="L908" s="24" t="s">
        <v>1</v>
      </c>
      <c r="M908" s="24" t="s">
        <v>1</v>
      </c>
    </row>
    <row r="909" spans="5:13" ht="12">
      <c r="E909" s="38"/>
      <c r="F909" s="38"/>
      <c r="G909" s="24"/>
      <c r="H909" s="86"/>
      <c r="I909" s="24"/>
      <c r="J909" s="24"/>
      <c r="K909" s="24"/>
      <c r="L909" s="24"/>
      <c r="M909" s="24"/>
    </row>
    <row r="910" spans="1:13" ht="12">
      <c r="A910" s="5">
        <v>26</v>
      </c>
      <c r="C910" s="5" t="s">
        <v>455</v>
      </c>
      <c r="E910" s="38"/>
      <c r="F910" s="38"/>
      <c r="G910" s="71"/>
      <c r="H910" s="86">
        <f>H414</f>
        <v>41385980.69</v>
      </c>
      <c r="I910" s="71"/>
      <c r="J910" s="86">
        <f>J414</f>
        <v>41263047</v>
      </c>
      <c r="K910" s="86"/>
      <c r="L910" s="71"/>
      <c r="M910" s="86">
        <f>M414</f>
        <v>47124143</v>
      </c>
    </row>
    <row r="911" spans="1:2" ht="12">
      <c r="A911" s="4"/>
      <c r="B911" s="4"/>
    </row>
    <row r="914" spans="1:13" ht="12">
      <c r="A914" s="68" t="s">
        <v>372</v>
      </c>
      <c r="B914" s="68"/>
      <c r="E914" s="38"/>
      <c r="F914" s="38"/>
      <c r="G914" s="71"/>
      <c r="H914" s="86"/>
      <c r="I914" s="71"/>
      <c r="J914" s="86"/>
      <c r="K914" s="86"/>
      <c r="L914" s="71"/>
      <c r="M914" s="189" t="s">
        <v>55</v>
      </c>
    </row>
    <row r="915" spans="1:13" ht="12">
      <c r="A915" s="428" t="s">
        <v>167</v>
      </c>
      <c r="B915" s="428"/>
      <c r="C915" s="428"/>
      <c r="D915" s="428"/>
      <c r="E915" s="428"/>
      <c r="F915" s="428"/>
      <c r="G915" s="428"/>
      <c r="H915" s="428"/>
      <c r="I915" s="428"/>
      <c r="J915" s="428"/>
      <c r="K915" s="428"/>
      <c r="L915" s="428"/>
      <c r="M915" s="428"/>
    </row>
    <row r="916" spans="1:13" ht="12">
      <c r="A916" s="68" t="s">
        <v>345</v>
      </c>
      <c r="B916" s="68"/>
      <c r="G916" s="71"/>
      <c r="I916" s="4"/>
      <c r="J916" s="86"/>
      <c r="K916" s="86"/>
      <c r="L916" s="71"/>
      <c r="M916" s="190" t="s">
        <v>346</v>
      </c>
    </row>
    <row r="917" spans="1:13" ht="12">
      <c r="A917" s="15" t="s">
        <v>1</v>
      </c>
      <c r="B917" s="15"/>
      <c r="C917" s="15" t="s">
        <v>1</v>
      </c>
      <c r="D917" s="15" t="s">
        <v>1</v>
      </c>
      <c r="E917" s="15" t="s">
        <v>1</v>
      </c>
      <c r="F917" s="15"/>
      <c r="G917" s="15" t="s">
        <v>1</v>
      </c>
      <c r="H917" s="15" t="s">
        <v>1</v>
      </c>
      <c r="I917" s="15" t="s">
        <v>1</v>
      </c>
      <c r="J917" s="15" t="s">
        <v>1</v>
      </c>
      <c r="K917" s="15"/>
      <c r="L917" s="15" t="s">
        <v>1</v>
      </c>
      <c r="M917" s="15" t="s">
        <v>1</v>
      </c>
    </row>
    <row r="918" spans="1:13" ht="12">
      <c r="A918" s="73" t="s">
        <v>2</v>
      </c>
      <c r="B918" s="73"/>
      <c r="E918" s="73" t="s">
        <v>2</v>
      </c>
      <c r="F918" s="73"/>
      <c r="G918" s="123"/>
      <c r="H918" s="123" t="s">
        <v>172</v>
      </c>
      <c r="I918" s="175"/>
      <c r="J918" s="123" t="s">
        <v>280</v>
      </c>
      <c r="K918" s="123"/>
      <c r="L918" s="89"/>
      <c r="M918" s="123" t="s">
        <v>289</v>
      </c>
    </row>
    <row r="919" spans="1:13" ht="12">
      <c r="A919" s="73" t="s">
        <v>4</v>
      </c>
      <c r="B919" s="73"/>
      <c r="C919" s="74" t="s">
        <v>20</v>
      </c>
      <c r="E919" s="73" t="s">
        <v>4</v>
      </c>
      <c r="F919" s="73"/>
      <c r="G919" s="178" t="s">
        <v>21</v>
      </c>
      <c r="H919" s="123" t="s">
        <v>7</v>
      </c>
      <c r="I919" s="178" t="s">
        <v>21</v>
      </c>
      <c r="J919" s="123" t="s">
        <v>7</v>
      </c>
      <c r="K919" s="123"/>
      <c r="L919" s="178" t="s">
        <v>21</v>
      </c>
      <c r="M919" s="123" t="s">
        <v>8</v>
      </c>
    </row>
    <row r="920" spans="1:13" ht="12">
      <c r="A920" s="15" t="s">
        <v>1</v>
      </c>
      <c r="B920" s="15"/>
      <c r="C920" s="15" t="s">
        <v>1</v>
      </c>
      <c r="D920" s="15" t="s">
        <v>1</v>
      </c>
      <c r="E920" s="15" t="s">
        <v>1</v>
      </c>
      <c r="F920" s="15"/>
      <c r="G920" s="15" t="s">
        <v>1</v>
      </c>
      <c r="H920" s="15" t="s">
        <v>1</v>
      </c>
      <c r="I920" s="15" t="s">
        <v>1</v>
      </c>
      <c r="J920" s="15" t="s">
        <v>1</v>
      </c>
      <c r="K920" s="15"/>
      <c r="L920" s="15" t="s">
        <v>1</v>
      </c>
      <c r="M920" s="176" t="s">
        <v>1</v>
      </c>
    </row>
    <row r="921" spans="1:13" ht="12">
      <c r="A921" s="41">
        <v>1</v>
      </c>
      <c r="B921" s="41"/>
      <c r="C921" s="4" t="s">
        <v>36</v>
      </c>
      <c r="E921" s="41">
        <v>1</v>
      </c>
      <c r="F921" s="41"/>
      <c r="G921" s="180"/>
      <c r="H921" s="179"/>
      <c r="I921" s="180"/>
      <c r="J921" s="179"/>
      <c r="K921" s="179"/>
      <c r="L921" s="180"/>
      <c r="M921" s="179"/>
    </row>
    <row r="922" spans="1:13" ht="12">
      <c r="A922" s="41">
        <v>2</v>
      </c>
      <c r="B922" s="41"/>
      <c r="C922" s="4" t="s">
        <v>37</v>
      </c>
      <c r="E922" s="41">
        <v>2</v>
      </c>
      <c r="F922" s="41"/>
      <c r="G922" s="180"/>
      <c r="H922" s="179"/>
      <c r="I922" s="180"/>
      <c r="J922" s="179"/>
      <c r="K922" s="179"/>
      <c r="L922" s="180"/>
      <c r="M922" s="179"/>
    </row>
    <row r="923" spans="1:13" ht="12">
      <c r="A923" s="41">
        <v>3</v>
      </c>
      <c r="B923" s="41"/>
      <c r="E923" s="41">
        <v>3</v>
      </c>
      <c r="F923" s="41"/>
      <c r="G923" s="180"/>
      <c r="H923" s="179"/>
      <c r="I923" s="180"/>
      <c r="J923" s="179"/>
      <c r="K923" s="179"/>
      <c r="L923" s="180"/>
      <c r="M923" s="179"/>
    </row>
    <row r="924" spans="1:13" ht="12">
      <c r="A924" s="41">
        <v>4</v>
      </c>
      <c r="B924" s="41"/>
      <c r="C924" s="4" t="s">
        <v>23</v>
      </c>
      <c r="E924" s="41">
        <v>4</v>
      </c>
      <c r="F924" s="41"/>
      <c r="G924" s="89">
        <f>G921</f>
        <v>0</v>
      </c>
      <c r="H924" s="86">
        <f>SUM(H921:H922)</f>
        <v>0</v>
      </c>
      <c r="I924" s="89">
        <f>I921</f>
        <v>0</v>
      </c>
      <c r="J924" s="86">
        <f>SUM(J921:J922)</f>
        <v>0</v>
      </c>
      <c r="K924" s="86"/>
      <c r="L924" s="89">
        <f>L921</f>
        <v>0</v>
      </c>
      <c r="M924" s="86">
        <f>SUM(M921:M922)</f>
        <v>0</v>
      </c>
    </row>
    <row r="925" spans="1:13" ht="12">
      <c r="A925" s="41">
        <v>5</v>
      </c>
      <c r="B925" s="41"/>
      <c r="E925" s="41">
        <v>5</v>
      </c>
      <c r="F925" s="41"/>
      <c r="G925" s="89"/>
      <c r="H925" s="86"/>
      <c r="I925" s="89"/>
      <c r="J925" s="86"/>
      <c r="K925" s="86"/>
      <c r="L925" s="89"/>
      <c r="M925" s="86"/>
    </row>
    <row r="926" spans="1:13" ht="12">
      <c r="A926" s="41">
        <v>6</v>
      </c>
      <c r="B926" s="41"/>
      <c r="E926" s="41">
        <v>6</v>
      </c>
      <c r="F926" s="41"/>
      <c r="G926" s="89"/>
      <c r="H926" s="86"/>
      <c r="I926" s="89"/>
      <c r="J926" s="86"/>
      <c r="K926" s="86"/>
      <c r="L926" s="89"/>
      <c r="M926" s="86"/>
    </row>
    <row r="927" spans="1:13" ht="12">
      <c r="A927" s="41">
        <v>7</v>
      </c>
      <c r="B927" s="41"/>
      <c r="C927" s="4" t="s">
        <v>25</v>
      </c>
      <c r="E927" s="41">
        <v>7</v>
      </c>
      <c r="F927" s="41"/>
      <c r="G927" s="180"/>
      <c r="H927" s="179"/>
      <c r="I927" s="180"/>
      <c r="J927" s="179"/>
      <c r="K927" s="179"/>
      <c r="L927" s="180"/>
      <c r="M927" s="179"/>
    </row>
    <row r="928" spans="1:13" ht="12">
      <c r="A928" s="41">
        <v>8</v>
      </c>
      <c r="B928" s="41"/>
      <c r="C928" s="4" t="s">
        <v>26</v>
      </c>
      <c r="E928" s="41">
        <v>8</v>
      </c>
      <c r="F928" s="41"/>
      <c r="G928" s="180"/>
      <c r="H928" s="179"/>
      <c r="I928" s="180"/>
      <c r="J928" s="179"/>
      <c r="K928" s="179"/>
      <c r="L928" s="180"/>
      <c r="M928" s="179"/>
    </row>
    <row r="929" spans="1:13" ht="12">
      <c r="A929" s="41">
        <v>9</v>
      </c>
      <c r="B929" s="41"/>
      <c r="C929" s="4" t="s">
        <v>27</v>
      </c>
      <c r="E929" s="41">
        <v>9</v>
      </c>
      <c r="F929" s="41"/>
      <c r="G929" s="89">
        <f>G927</f>
        <v>0</v>
      </c>
      <c r="H929" s="86">
        <f>SUM(H927:H928)</f>
        <v>0</v>
      </c>
      <c r="I929" s="89">
        <f>I927</f>
        <v>0</v>
      </c>
      <c r="J929" s="86">
        <f>SUM(J927:J928)</f>
        <v>0</v>
      </c>
      <c r="K929" s="86"/>
      <c r="L929" s="89">
        <f>L927</f>
        <v>0</v>
      </c>
      <c r="M929" s="86">
        <f>SUM(M927:M928)</f>
        <v>0</v>
      </c>
    </row>
    <row r="930" spans="1:13" ht="12">
      <c r="A930" s="41">
        <v>10</v>
      </c>
      <c r="B930" s="41"/>
      <c r="E930" s="41">
        <v>10</v>
      </c>
      <c r="F930" s="41"/>
      <c r="G930" s="89"/>
      <c r="H930" s="86"/>
      <c r="I930" s="89"/>
      <c r="J930" s="86"/>
      <c r="K930" s="86"/>
      <c r="L930" s="89"/>
      <c r="M930" s="86"/>
    </row>
    <row r="931" spans="1:13" ht="12">
      <c r="A931" s="41">
        <v>11</v>
      </c>
      <c r="B931" s="41"/>
      <c r="C931" s="4" t="s">
        <v>28</v>
      </c>
      <c r="E931" s="41">
        <v>11</v>
      </c>
      <c r="F931" s="41"/>
      <c r="G931" s="89">
        <f aca="true" t="shared" si="41" ref="G931:M931">SUM(G929,G924)</f>
        <v>0</v>
      </c>
      <c r="H931" s="86">
        <f t="shared" si="41"/>
        <v>0</v>
      </c>
      <c r="I931" s="89">
        <f t="shared" si="41"/>
        <v>0</v>
      </c>
      <c r="J931" s="86">
        <f t="shared" si="41"/>
        <v>0</v>
      </c>
      <c r="K931" s="86"/>
      <c r="L931" s="89">
        <f t="shared" si="41"/>
        <v>0</v>
      </c>
      <c r="M931" s="86">
        <f t="shared" si="41"/>
        <v>0</v>
      </c>
    </row>
    <row r="932" spans="1:6" ht="12">
      <c r="A932" s="41">
        <v>12</v>
      </c>
      <c r="B932" s="41"/>
      <c r="E932" s="41">
        <v>12</v>
      </c>
      <c r="F932" s="41"/>
    </row>
    <row r="933" spans="1:13" ht="12">
      <c r="A933" s="41">
        <v>13</v>
      </c>
      <c r="B933" s="41"/>
      <c r="C933" s="4" t="s">
        <v>38</v>
      </c>
      <c r="E933" s="41">
        <v>13</v>
      </c>
      <c r="F933" s="41"/>
      <c r="G933" s="180"/>
      <c r="H933" s="179"/>
      <c r="I933" s="180"/>
      <c r="J933" s="179"/>
      <c r="K933" s="179"/>
      <c r="L933" s="180"/>
      <c r="M933" s="179"/>
    </row>
    <row r="934" spans="1:13" ht="12">
      <c r="A934" s="41">
        <v>14</v>
      </c>
      <c r="B934" s="41"/>
      <c r="E934" s="41">
        <v>14</v>
      </c>
      <c r="F934" s="41"/>
      <c r="G934" s="180"/>
      <c r="H934" s="27"/>
      <c r="I934" s="180"/>
      <c r="J934" s="27"/>
      <c r="K934" s="27"/>
      <c r="L934" s="180"/>
      <c r="M934" s="27"/>
    </row>
    <row r="935" spans="1:13" ht="12">
      <c r="A935" s="41">
        <v>15</v>
      </c>
      <c r="B935" s="41"/>
      <c r="C935" s="4" t="s">
        <v>30</v>
      </c>
      <c r="E935" s="41">
        <v>15</v>
      </c>
      <c r="F935" s="41"/>
      <c r="G935" s="180"/>
      <c r="H935" s="179"/>
      <c r="I935" s="180"/>
      <c r="J935" s="179"/>
      <c r="K935" s="179"/>
      <c r="L935" s="180"/>
      <c r="M935" s="179"/>
    </row>
    <row r="936" spans="1:13" ht="12">
      <c r="A936" s="41">
        <v>16</v>
      </c>
      <c r="B936" s="41"/>
      <c r="C936" s="4" t="s">
        <v>31</v>
      </c>
      <c r="E936" s="41">
        <v>17</v>
      </c>
      <c r="F936" s="41"/>
      <c r="G936" s="180"/>
      <c r="H936" s="179"/>
      <c r="I936" s="180"/>
      <c r="J936" s="179"/>
      <c r="K936" s="179"/>
      <c r="L936" s="180"/>
      <c r="M936" s="179"/>
    </row>
    <row r="937" spans="1:13" ht="12">
      <c r="A937" s="41">
        <v>17</v>
      </c>
      <c r="B937" s="41"/>
      <c r="C937" s="4" t="s">
        <v>32</v>
      </c>
      <c r="E937" s="41">
        <v>17</v>
      </c>
      <c r="F937" s="41"/>
      <c r="G937" s="180"/>
      <c r="H937" s="179"/>
      <c r="I937" s="180"/>
      <c r="J937" s="179"/>
      <c r="K937" s="179"/>
      <c r="L937" s="180"/>
      <c r="M937" s="179"/>
    </row>
    <row r="938" spans="1:13" ht="12">
      <c r="A938" s="41">
        <v>18</v>
      </c>
      <c r="B938" s="41"/>
      <c r="C938" s="5" t="s">
        <v>435</v>
      </c>
      <c r="E938" s="41">
        <v>18</v>
      </c>
      <c r="F938" s="41"/>
      <c r="H938" s="179"/>
      <c r="I938" s="180"/>
      <c r="J938" s="179"/>
      <c r="K938" s="179"/>
      <c r="L938" s="180"/>
      <c r="M938" s="179"/>
    </row>
    <row r="939" spans="1:9" ht="12">
      <c r="A939" s="41">
        <v>19</v>
      </c>
      <c r="B939" s="41"/>
      <c r="E939" s="41">
        <v>19</v>
      </c>
      <c r="F939" s="41"/>
      <c r="H939" s="179"/>
      <c r="I939" s="180"/>
    </row>
    <row r="940" spans="1:13" ht="12">
      <c r="A940" s="41">
        <v>20</v>
      </c>
      <c r="B940" s="41"/>
      <c r="E940" s="41">
        <v>20</v>
      </c>
      <c r="F940" s="41"/>
      <c r="G940" s="24"/>
      <c r="H940" s="24"/>
      <c r="I940" s="24"/>
      <c r="J940" s="24"/>
      <c r="K940" s="24"/>
      <c r="L940" s="24"/>
      <c r="M940" s="24"/>
    </row>
    <row r="941" spans="1:13" ht="12">
      <c r="A941" s="41">
        <v>21</v>
      </c>
      <c r="B941" s="41"/>
      <c r="E941" s="41">
        <v>21</v>
      </c>
      <c r="F941" s="41"/>
      <c r="H941" s="24"/>
      <c r="I941" s="24"/>
      <c r="J941" s="86"/>
      <c r="K941" s="86"/>
      <c r="L941" s="24"/>
      <c r="M941" s="86"/>
    </row>
    <row r="942" spans="1:13" ht="12">
      <c r="A942" s="41">
        <v>22</v>
      </c>
      <c r="B942" s="41"/>
      <c r="E942" s="41">
        <v>22</v>
      </c>
      <c r="F942" s="41"/>
      <c r="H942" s="24"/>
      <c r="I942" s="89"/>
      <c r="J942" s="86"/>
      <c r="K942" s="86"/>
      <c r="L942" s="89"/>
      <c r="M942" s="86"/>
    </row>
    <row r="943" spans="1:13" ht="12">
      <c r="A943" s="41">
        <v>23</v>
      </c>
      <c r="B943" s="41"/>
      <c r="D943" s="47"/>
      <c r="E943" s="41">
        <v>23</v>
      </c>
      <c r="F943" s="41"/>
      <c r="H943" s="24"/>
      <c r="J943" s="86"/>
      <c r="K943" s="86"/>
      <c r="M943" s="86"/>
    </row>
    <row r="944" spans="1:13" ht="12">
      <c r="A944" s="41">
        <v>24</v>
      </c>
      <c r="B944" s="41"/>
      <c r="D944" s="47"/>
      <c r="E944" s="41">
        <v>24</v>
      </c>
      <c r="F944" s="41"/>
      <c r="H944" s="24"/>
      <c r="J944" s="86"/>
      <c r="K944" s="86"/>
      <c r="M944" s="86"/>
    </row>
    <row r="945" spans="7:13" ht="12">
      <c r="G945" s="24" t="s">
        <v>1</v>
      </c>
      <c r="H945" s="24" t="s">
        <v>1</v>
      </c>
      <c r="I945" s="24" t="s">
        <v>1</v>
      </c>
      <c r="J945" s="24" t="s">
        <v>1</v>
      </c>
      <c r="K945" s="24"/>
      <c r="L945" s="24" t="s">
        <v>1</v>
      </c>
      <c r="M945" s="24" t="s">
        <v>1</v>
      </c>
    </row>
    <row r="946" spans="1:13" ht="12">
      <c r="A946" s="41">
        <v>25</v>
      </c>
      <c r="B946" s="41"/>
      <c r="C946" s="4" t="s">
        <v>456</v>
      </c>
      <c r="E946" s="41">
        <v>25</v>
      </c>
      <c r="F946" s="41"/>
      <c r="G946" s="77">
        <f>G931</f>
        <v>0</v>
      </c>
      <c r="H946" s="38">
        <f>SUM(H931:H944)</f>
        <v>0</v>
      </c>
      <c r="I946" s="77">
        <f>I931</f>
        <v>0</v>
      </c>
      <c r="J946" s="38">
        <f>SUM(J931:J944)</f>
        <v>0</v>
      </c>
      <c r="K946" s="38"/>
      <c r="L946" s="77">
        <f>L931</f>
        <v>0</v>
      </c>
      <c r="M946" s="86">
        <f>SUM(M931:M944)</f>
        <v>0</v>
      </c>
    </row>
    <row r="947" spans="5:13" ht="12">
      <c r="E947" s="38"/>
      <c r="F947" s="38"/>
      <c r="G947" s="24" t="s">
        <v>1</v>
      </c>
      <c r="H947" s="24" t="s">
        <v>1</v>
      </c>
      <c r="I947" s="24" t="s">
        <v>1</v>
      </c>
      <c r="J947" s="24" t="s">
        <v>1</v>
      </c>
      <c r="K947" s="24"/>
      <c r="L947" s="24" t="s">
        <v>1</v>
      </c>
      <c r="M947" s="24" t="s">
        <v>1</v>
      </c>
    </row>
    <row r="949" spans="1:13" ht="12">
      <c r="A949" s="4"/>
      <c r="B949" s="4"/>
      <c r="H949" s="86"/>
      <c r="J949" s="86"/>
      <c r="K949" s="86"/>
      <c r="M949" s="86"/>
    </row>
    <row r="950" spans="1:13" ht="12">
      <c r="A950" s="68" t="s">
        <v>372</v>
      </c>
      <c r="B950" s="68"/>
      <c r="E950" s="38"/>
      <c r="F950" s="38"/>
      <c r="G950" s="71"/>
      <c r="H950" s="86"/>
      <c r="I950" s="71"/>
      <c r="J950" s="86"/>
      <c r="K950" s="86"/>
      <c r="L950" s="71"/>
      <c r="M950" s="189" t="s">
        <v>56</v>
      </c>
    </row>
    <row r="951" spans="1:13" ht="12">
      <c r="A951" s="429" t="s">
        <v>457</v>
      </c>
      <c r="B951" s="429"/>
      <c r="C951" s="429"/>
      <c r="D951" s="429"/>
      <c r="E951" s="429"/>
      <c r="F951" s="429"/>
      <c r="G951" s="429"/>
      <c r="H951" s="429"/>
      <c r="I951" s="429"/>
      <c r="J951" s="429"/>
      <c r="K951" s="429"/>
      <c r="L951" s="429"/>
      <c r="M951" s="429"/>
    </row>
    <row r="952" spans="1:13" ht="12">
      <c r="A952" s="68" t="s">
        <v>345</v>
      </c>
      <c r="B952" s="68"/>
      <c r="G952" s="71"/>
      <c r="H952" s="86"/>
      <c r="J952" s="217"/>
      <c r="K952" s="217"/>
      <c r="L952" s="71"/>
      <c r="M952" s="190" t="s">
        <v>346</v>
      </c>
    </row>
    <row r="953" spans="1:13" ht="12">
      <c r="A953" s="15" t="s">
        <v>1</v>
      </c>
      <c r="B953" s="15"/>
      <c r="C953" s="15" t="s">
        <v>1</v>
      </c>
      <c r="D953" s="15" t="s">
        <v>1</v>
      </c>
      <c r="E953" s="15" t="s">
        <v>1</v>
      </c>
      <c r="F953" s="15"/>
      <c r="G953" s="15" t="s">
        <v>1</v>
      </c>
      <c r="H953" s="15" t="s">
        <v>1</v>
      </c>
      <c r="I953" s="15" t="s">
        <v>1</v>
      </c>
      <c r="J953" s="15" t="s">
        <v>1</v>
      </c>
      <c r="K953" s="15"/>
      <c r="L953" s="15" t="s">
        <v>1</v>
      </c>
      <c r="M953" s="15" t="s">
        <v>1</v>
      </c>
    </row>
    <row r="954" spans="1:13" ht="12">
      <c r="A954" s="73" t="s">
        <v>2</v>
      </c>
      <c r="B954" s="73"/>
      <c r="E954" s="73" t="s">
        <v>2</v>
      </c>
      <c r="F954" s="73"/>
      <c r="G954" s="123"/>
      <c r="H954" s="123" t="s">
        <v>172</v>
      </c>
      <c r="I954" s="175"/>
      <c r="J954" s="123" t="s">
        <v>280</v>
      </c>
      <c r="K954" s="123"/>
      <c r="L954" s="89"/>
      <c r="M954" s="123" t="s">
        <v>289</v>
      </c>
    </row>
    <row r="955" spans="1:13" ht="12">
      <c r="A955" s="73" t="s">
        <v>4</v>
      </c>
      <c r="B955" s="73"/>
      <c r="C955" s="74" t="s">
        <v>20</v>
      </c>
      <c r="E955" s="73" t="s">
        <v>4</v>
      </c>
      <c r="F955" s="73"/>
      <c r="G955" s="178"/>
      <c r="H955" s="123" t="s">
        <v>7</v>
      </c>
      <c r="I955" s="178"/>
      <c r="J955" s="123" t="s">
        <v>7</v>
      </c>
      <c r="K955" s="123"/>
      <c r="L955" s="178"/>
      <c r="M955" s="123" t="s">
        <v>8</v>
      </c>
    </row>
    <row r="956" spans="1:13" ht="12">
      <c r="A956" s="15" t="s">
        <v>1</v>
      </c>
      <c r="B956" s="15"/>
      <c r="C956" s="15" t="s">
        <v>1</v>
      </c>
      <c r="D956" s="15" t="s">
        <v>1</v>
      </c>
      <c r="E956" s="15" t="s">
        <v>1</v>
      </c>
      <c r="F956" s="15"/>
      <c r="G956" s="15" t="s">
        <v>1</v>
      </c>
      <c r="H956" s="15" t="s">
        <v>1</v>
      </c>
      <c r="I956" s="15" t="s">
        <v>1</v>
      </c>
      <c r="J956" s="15" t="s">
        <v>1</v>
      </c>
      <c r="K956" s="15"/>
      <c r="L956" s="15" t="s">
        <v>1</v>
      </c>
      <c r="M956" s="176" t="s">
        <v>1</v>
      </c>
    </row>
    <row r="957" spans="1:13" ht="12">
      <c r="A957" s="30">
        <v>1</v>
      </c>
      <c r="B957" s="30"/>
      <c r="C957" s="5" t="s">
        <v>58</v>
      </c>
      <c r="E957" s="30">
        <v>1</v>
      </c>
      <c r="F957" s="30"/>
      <c r="G957" s="89"/>
      <c r="H957" s="179">
        <f>52817.69</f>
        <v>52817.69</v>
      </c>
      <c r="I957" s="180"/>
      <c r="J957" s="179">
        <f>1090702.02</f>
        <v>1090702.02</v>
      </c>
      <c r="K957" s="179"/>
      <c r="L957" s="180"/>
      <c r="M957" s="179">
        <f>1378883+66296</f>
        <v>1445179</v>
      </c>
    </row>
    <row r="958" spans="1:13" ht="12">
      <c r="A958" s="30">
        <v>2</v>
      </c>
      <c r="B958" s="30"/>
      <c r="E958" s="30">
        <v>2</v>
      </c>
      <c r="F958" s="30"/>
      <c r="G958" s="89"/>
      <c r="H958" s="192"/>
      <c r="I958" s="180"/>
      <c r="J958" s="192"/>
      <c r="K958" s="192"/>
      <c r="L958" s="180"/>
      <c r="M958" s="179"/>
    </row>
    <row r="959" spans="1:13" ht="12">
      <c r="A959" s="30">
        <v>3</v>
      </c>
      <c r="B959" s="30"/>
      <c r="C959" s="27"/>
      <c r="E959" s="30">
        <v>3</v>
      </c>
      <c r="F959" s="30"/>
      <c r="G959" s="89"/>
      <c r="H959" s="179"/>
      <c r="I959" s="180"/>
      <c r="J959" s="179"/>
      <c r="K959" s="179"/>
      <c r="L959" s="180"/>
      <c r="M959" s="179"/>
    </row>
    <row r="960" spans="1:13" ht="12">
      <c r="A960" s="30">
        <v>4</v>
      </c>
      <c r="B960" s="30"/>
      <c r="C960" s="27"/>
      <c r="E960" s="30">
        <v>4</v>
      </c>
      <c r="F960" s="30"/>
      <c r="G960" s="89"/>
      <c r="H960" s="179"/>
      <c r="I960" s="180"/>
      <c r="J960" s="179"/>
      <c r="K960" s="179"/>
      <c r="L960" s="180"/>
      <c r="M960" s="179"/>
    </row>
    <row r="961" spans="1:13" ht="12">
      <c r="A961" s="30">
        <v>5</v>
      </c>
      <c r="B961" s="30"/>
      <c r="C961" s="4"/>
      <c r="E961" s="30">
        <v>5</v>
      </c>
      <c r="F961" s="30"/>
      <c r="G961" s="89"/>
      <c r="H961" s="179"/>
      <c r="I961" s="180"/>
      <c r="J961" s="179"/>
      <c r="K961" s="179"/>
      <c r="L961" s="180"/>
      <c r="M961" s="179"/>
    </row>
    <row r="962" spans="1:13" ht="12">
      <c r="A962" s="30">
        <v>6</v>
      </c>
      <c r="B962" s="30"/>
      <c r="C962" s="27"/>
      <c r="E962" s="30">
        <v>6</v>
      </c>
      <c r="F962" s="30"/>
      <c r="G962" s="89"/>
      <c r="H962" s="179"/>
      <c r="I962" s="180"/>
      <c r="J962" s="179"/>
      <c r="K962" s="179"/>
      <c r="L962" s="180"/>
      <c r="M962" s="179"/>
    </row>
    <row r="963" spans="1:13" ht="12">
      <c r="A963" s="30">
        <v>7</v>
      </c>
      <c r="B963" s="30"/>
      <c r="C963" s="27"/>
      <c r="E963" s="30">
        <v>7</v>
      </c>
      <c r="F963" s="30"/>
      <c r="G963" s="89"/>
      <c r="H963" s="179"/>
      <c r="I963" s="180"/>
      <c r="J963" s="179"/>
      <c r="K963" s="179"/>
      <c r="L963" s="180"/>
      <c r="M963" s="179"/>
    </row>
    <row r="964" spans="1:13" ht="12">
      <c r="A964" s="30">
        <v>8</v>
      </c>
      <c r="B964" s="30"/>
      <c r="E964" s="30">
        <v>8</v>
      </c>
      <c r="F964" s="30"/>
      <c r="G964" s="89"/>
      <c r="H964" s="179"/>
      <c r="I964" s="180"/>
      <c r="J964" s="179"/>
      <c r="K964" s="179"/>
      <c r="L964" s="180"/>
      <c r="M964" s="179"/>
    </row>
    <row r="965" spans="1:13" ht="12">
      <c r="A965" s="30">
        <v>9</v>
      </c>
      <c r="B965" s="30"/>
      <c r="E965" s="30">
        <v>9</v>
      </c>
      <c r="F965" s="30"/>
      <c r="G965" s="89"/>
      <c r="H965" s="179"/>
      <c r="I965" s="180"/>
      <c r="J965" s="179"/>
      <c r="K965" s="179"/>
      <c r="L965" s="180"/>
      <c r="M965" s="179"/>
    </row>
    <row r="966" spans="1:13" ht="12">
      <c r="A966" s="37"/>
      <c r="B966" s="37"/>
      <c r="E966" s="37"/>
      <c r="F966" s="37"/>
      <c r="G966" s="24" t="s">
        <v>1</v>
      </c>
      <c r="H966" s="24" t="s">
        <v>1</v>
      </c>
      <c r="I966" s="24" t="s">
        <v>1</v>
      </c>
      <c r="J966" s="24" t="s">
        <v>1</v>
      </c>
      <c r="K966" s="24"/>
      <c r="L966" s="24" t="s">
        <v>1</v>
      </c>
      <c r="M966" s="24" t="s">
        <v>1</v>
      </c>
    </row>
    <row r="967" spans="1:13" ht="12">
      <c r="A967" s="30">
        <v>10</v>
      </c>
      <c r="B967" s="30"/>
      <c r="C967" s="5" t="s">
        <v>98</v>
      </c>
      <c r="E967" s="30">
        <v>10</v>
      </c>
      <c r="F967" s="30"/>
      <c r="G967" s="89"/>
      <c r="H967" s="179">
        <f>SUM(H957:H963)</f>
        <v>52817.69</v>
      </c>
      <c r="I967" s="89"/>
      <c r="J967" s="179">
        <f>SUM(J957:J963)</f>
        <v>1090702.02</v>
      </c>
      <c r="K967" s="179"/>
      <c r="L967" s="89"/>
      <c r="M967" s="179">
        <f>SUM(M957:M963)</f>
        <v>1445179</v>
      </c>
    </row>
    <row r="968" spans="1:13" ht="12">
      <c r="A968" s="30"/>
      <c r="B968" s="30"/>
      <c r="E968" s="30"/>
      <c r="F968" s="30"/>
      <c r="G968" s="24" t="s">
        <v>1</v>
      </c>
      <c r="H968" s="24" t="s">
        <v>1</v>
      </c>
      <c r="I968" s="24" t="s">
        <v>1</v>
      </c>
      <c r="J968" s="24" t="s">
        <v>1</v>
      </c>
      <c r="K968" s="24"/>
      <c r="L968" s="24" t="s">
        <v>1</v>
      </c>
      <c r="M968" s="24" t="s">
        <v>1</v>
      </c>
    </row>
    <row r="969" spans="1:13" ht="12">
      <c r="A969" s="30">
        <v>11</v>
      </c>
      <c r="B969" s="30"/>
      <c r="C969" s="27"/>
      <c r="E969" s="30">
        <v>11</v>
      </c>
      <c r="F969" s="30"/>
      <c r="G969" s="89"/>
      <c r="H969" s="179"/>
      <c r="I969" s="180"/>
      <c r="J969" s="179"/>
      <c r="K969" s="179"/>
      <c r="L969" s="180"/>
      <c r="M969" s="179"/>
    </row>
    <row r="970" spans="1:13" ht="12">
      <c r="A970" s="30">
        <v>12</v>
      </c>
      <c r="B970" s="30"/>
      <c r="C970" s="4" t="s">
        <v>458</v>
      </c>
      <c r="E970" s="30">
        <v>12</v>
      </c>
      <c r="F970" s="30"/>
      <c r="G970" s="89"/>
      <c r="H970" s="179">
        <f>41454189.43</f>
        <v>41454189.43</v>
      </c>
      <c r="I970" s="180"/>
      <c r="J970" s="179">
        <f>41635002.92</f>
        <v>41635002.92</v>
      </c>
      <c r="K970" s="179"/>
      <c r="L970" s="180"/>
      <c r="M970" s="179">
        <f>26426065</f>
        <v>26426065</v>
      </c>
    </row>
    <row r="971" spans="1:13" ht="12">
      <c r="A971" s="30">
        <v>13</v>
      </c>
      <c r="B971" s="30"/>
      <c r="C971" s="27" t="s">
        <v>459</v>
      </c>
      <c r="E971" s="30">
        <v>13</v>
      </c>
      <c r="F971" s="30"/>
      <c r="G971" s="89"/>
      <c r="H971" s="179">
        <f>12691639</f>
        <v>12691639</v>
      </c>
      <c r="I971" s="180"/>
      <c r="J971" s="179">
        <f>10852664</f>
        <v>10852664</v>
      </c>
      <c r="K971" s="179"/>
      <c r="L971" s="180"/>
      <c r="M971" s="179">
        <f>11978736</f>
        <v>11978736</v>
      </c>
    </row>
    <row r="972" spans="1:13" ht="12">
      <c r="A972" s="30">
        <v>14</v>
      </c>
      <c r="B972" s="30"/>
      <c r="C972" s="5" t="s">
        <v>618</v>
      </c>
      <c r="E972" s="30">
        <v>14</v>
      </c>
      <c r="F972" s="30"/>
      <c r="G972" s="89"/>
      <c r="H972" s="179">
        <f>H739</f>
        <v>10786952.66</v>
      </c>
      <c r="I972" s="180"/>
      <c r="J972" s="179">
        <f>J739</f>
        <v>10466685.96</v>
      </c>
      <c r="K972" s="179"/>
      <c r="L972" s="180"/>
      <c r="M972" s="179">
        <f>M739</f>
        <v>11592001</v>
      </c>
    </row>
    <row r="973" spans="1:13" ht="12">
      <c r="A973" s="30">
        <v>15</v>
      </c>
      <c r="B973" s="30"/>
      <c r="E973" s="30">
        <v>15</v>
      </c>
      <c r="F973" s="30"/>
      <c r="G973" s="89"/>
      <c r="H973" s="179"/>
      <c r="I973" s="180"/>
      <c r="J973" s="179"/>
      <c r="K973" s="179"/>
      <c r="L973" s="180"/>
      <c r="M973" s="179"/>
    </row>
    <row r="974" spans="1:13" ht="12">
      <c r="A974" s="30">
        <v>16</v>
      </c>
      <c r="B974" s="30"/>
      <c r="E974" s="30">
        <v>16</v>
      </c>
      <c r="F974" s="30"/>
      <c r="G974" s="89"/>
      <c r="H974" s="179"/>
      <c r="I974" s="180"/>
      <c r="J974" s="179"/>
      <c r="K974" s="179"/>
      <c r="L974" s="180"/>
      <c r="M974" s="179"/>
    </row>
    <row r="975" spans="1:13" ht="12">
      <c r="A975" s="30">
        <v>17</v>
      </c>
      <c r="B975" s="30"/>
      <c r="C975" s="31"/>
      <c r="D975" s="36"/>
      <c r="E975" s="30">
        <v>17</v>
      </c>
      <c r="F975" s="30"/>
      <c r="G975" s="89"/>
      <c r="H975" s="179"/>
      <c r="I975" s="180"/>
      <c r="J975" s="179"/>
      <c r="K975" s="179"/>
      <c r="L975" s="180"/>
      <c r="M975" s="179"/>
    </row>
    <row r="976" spans="1:13" ht="12">
      <c r="A976" s="30">
        <v>18</v>
      </c>
      <c r="B976" s="30"/>
      <c r="C976" s="36"/>
      <c r="D976" s="36"/>
      <c r="E976" s="30">
        <v>18</v>
      </c>
      <c r="F976" s="30"/>
      <c r="G976" s="89"/>
      <c r="H976" s="179"/>
      <c r="I976" s="180"/>
      <c r="J976" s="179"/>
      <c r="K976" s="179"/>
      <c r="L976" s="180"/>
      <c r="M976" s="179"/>
    </row>
    <row r="977" spans="1:13" ht="12">
      <c r="A977" s="30"/>
      <c r="B977" s="30"/>
      <c r="C977" s="50"/>
      <c r="D977" s="36"/>
      <c r="E977" s="30"/>
      <c r="F977" s="30"/>
      <c r="G977" s="24" t="s">
        <v>1</v>
      </c>
      <c r="H977" s="24" t="s">
        <v>1</v>
      </c>
      <c r="I977" s="24" t="s">
        <v>1</v>
      </c>
      <c r="J977" s="24" t="s">
        <v>1</v>
      </c>
      <c r="K977" s="24"/>
      <c r="L977" s="24" t="s">
        <v>1</v>
      </c>
      <c r="M977" s="24" t="s">
        <v>1</v>
      </c>
    </row>
    <row r="978" spans="1:13" ht="12">
      <c r="A978" s="30">
        <v>19</v>
      </c>
      <c r="B978" s="30"/>
      <c r="C978" s="5" t="s">
        <v>460</v>
      </c>
      <c r="D978" s="36"/>
      <c r="E978" s="30">
        <v>19</v>
      </c>
      <c r="F978" s="30"/>
      <c r="H978" s="192">
        <f>SUM(H970:H976)-H972</f>
        <v>54145828.43000001</v>
      </c>
      <c r="J978" s="192">
        <f>SUM(J970:J976)-J972</f>
        <v>52487666.92</v>
      </c>
      <c r="K978" s="192"/>
      <c r="L978" s="180"/>
      <c r="M978" s="192">
        <f>SUM(M970:M976)-M972</f>
        <v>38404801</v>
      </c>
    </row>
    <row r="979" spans="1:13" ht="12">
      <c r="A979" s="30"/>
      <c r="B979" s="30"/>
      <c r="C979" s="50"/>
      <c r="D979" s="36"/>
      <c r="E979" s="30"/>
      <c r="F979" s="30"/>
      <c r="G979" s="24" t="s">
        <v>1</v>
      </c>
      <c r="H979" s="24" t="s">
        <v>1</v>
      </c>
      <c r="I979" s="24" t="s">
        <v>1</v>
      </c>
      <c r="J979" s="24" t="s">
        <v>1</v>
      </c>
      <c r="K979" s="24"/>
      <c r="L979" s="24" t="s">
        <v>1</v>
      </c>
      <c r="M979" s="24" t="s">
        <v>1</v>
      </c>
    </row>
    <row r="980" spans="1:11" ht="12">
      <c r="A980" s="30"/>
      <c r="B980" s="30"/>
      <c r="C980" s="36"/>
      <c r="D980" s="36"/>
      <c r="E980" s="30"/>
      <c r="F980" s="30"/>
      <c r="J980" s="179"/>
      <c r="K980" s="179"/>
    </row>
    <row r="981" spans="1:13" ht="12">
      <c r="A981" s="30">
        <v>20</v>
      </c>
      <c r="B981" s="30"/>
      <c r="C981" s="4" t="s">
        <v>461</v>
      </c>
      <c r="E981" s="30">
        <v>20</v>
      </c>
      <c r="F981" s="30"/>
      <c r="G981" s="89"/>
      <c r="H981" s="86">
        <f>SUM(H967,H978)</f>
        <v>54198646.120000005</v>
      </c>
      <c r="I981" s="89"/>
      <c r="J981" s="86">
        <f>SUM(J967,J978)</f>
        <v>53578368.940000005</v>
      </c>
      <c r="K981" s="86"/>
      <c r="L981" s="89"/>
      <c r="M981" s="86">
        <f>SUM(M967,M978)</f>
        <v>39849980</v>
      </c>
    </row>
    <row r="982" spans="3:13" ht="12">
      <c r="C982" s="4" t="s">
        <v>99</v>
      </c>
      <c r="E982" s="38"/>
      <c r="F982" s="38"/>
      <c r="G982" s="24" t="s">
        <v>1</v>
      </c>
      <c r="H982" s="24" t="s">
        <v>1</v>
      </c>
      <c r="I982" s="24" t="s">
        <v>1</v>
      </c>
      <c r="J982" s="24" t="s">
        <v>1</v>
      </c>
      <c r="K982" s="24"/>
      <c r="L982" s="24" t="s">
        <v>1</v>
      </c>
      <c r="M982" s="24" t="s">
        <v>1</v>
      </c>
    </row>
    <row r="983" ht="12">
      <c r="C983" s="4" t="s">
        <v>0</v>
      </c>
    </row>
    <row r="984" spans="1:13" ht="12">
      <c r="A984" s="68" t="s">
        <v>372</v>
      </c>
      <c r="B984" s="68"/>
      <c r="C984" s="362"/>
      <c r="D984" s="1"/>
      <c r="I984" s="71"/>
      <c r="J984" s="86"/>
      <c r="K984" s="86"/>
      <c r="M984" s="189" t="s">
        <v>110</v>
      </c>
    </row>
    <row r="985" spans="1:13" ht="12">
      <c r="A985" s="430" t="s">
        <v>462</v>
      </c>
      <c r="B985" s="430"/>
      <c r="C985" s="430"/>
      <c r="D985" s="430"/>
      <c r="E985" s="430"/>
      <c r="F985" s="430"/>
      <c r="G985" s="430"/>
      <c r="H985" s="430"/>
      <c r="I985" s="430"/>
      <c r="J985" s="430"/>
      <c r="K985" s="430"/>
      <c r="L985" s="430"/>
      <c r="M985" s="430"/>
    </row>
    <row r="986" spans="1:13" ht="12">
      <c r="A986" s="431" t="s">
        <v>397</v>
      </c>
      <c r="B986" s="431"/>
      <c r="C986" s="431"/>
      <c r="D986" s="431"/>
      <c r="E986" s="431"/>
      <c r="F986" s="431"/>
      <c r="G986" s="431"/>
      <c r="H986" s="431"/>
      <c r="M986" s="190" t="s">
        <v>346</v>
      </c>
    </row>
    <row r="987" spans="1:13" ht="8.25" customHeight="1">
      <c r="A987" s="15" t="s">
        <v>1</v>
      </c>
      <c r="B987" s="15"/>
      <c r="C987" s="363" t="s">
        <v>1</v>
      </c>
      <c r="D987" s="15" t="s">
        <v>1</v>
      </c>
      <c r="E987" s="15" t="s">
        <v>1</v>
      </c>
      <c r="F987" s="15"/>
      <c r="G987" s="15" t="s">
        <v>1</v>
      </c>
      <c r="H987" s="15" t="s">
        <v>1</v>
      </c>
      <c r="I987" s="15" t="s">
        <v>1</v>
      </c>
      <c r="J987" s="15" t="s">
        <v>1</v>
      </c>
      <c r="K987" s="15"/>
      <c r="L987" s="15" t="s">
        <v>1</v>
      </c>
      <c r="M987" s="15" t="s">
        <v>1</v>
      </c>
    </row>
    <row r="988" spans="1:13" ht="12">
      <c r="A988" s="73" t="s">
        <v>2</v>
      </c>
      <c r="B988" s="73"/>
      <c r="C988" s="362"/>
      <c r="D988" s="1"/>
      <c r="E988" s="73" t="s">
        <v>2</v>
      </c>
      <c r="F988" s="73"/>
      <c r="G988" s="432" t="s">
        <v>247</v>
      </c>
      <c r="H988" s="432"/>
      <c r="I988" s="432" t="s">
        <v>281</v>
      </c>
      <c r="J988" s="432"/>
      <c r="K988" s="174"/>
      <c r="L988" s="432" t="s">
        <v>290</v>
      </c>
      <c r="M988" s="432"/>
    </row>
    <row r="989" spans="1:13" ht="24">
      <c r="A989" s="73" t="s">
        <v>4</v>
      </c>
      <c r="B989" s="73"/>
      <c r="C989" s="364" t="s">
        <v>619</v>
      </c>
      <c r="D989" s="365" t="s">
        <v>463</v>
      </c>
      <c r="E989" s="73" t="s">
        <v>4</v>
      </c>
      <c r="F989" s="73"/>
      <c r="G989" s="123" t="s">
        <v>103</v>
      </c>
      <c r="H989" s="123" t="s">
        <v>104</v>
      </c>
      <c r="I989" s="123" t="s">
        <v>103</v>
      </c>
      <c r="J989" s="123" t="s">
        <v>104</v>
      </c>
      <c r="K989" s="123"/>
      <c r="L989" s="123" t="s">
        <v>103</v>
      </c>
      <c r="M989" s="123" t="s">
        <v>104</v>
      </c>
    </row>
    <row r="990" spans="3:13" ht="11.25" customHeight="1">
      <c r="C990" s="362"/>
      <c r="D990" s="365" t="s">
        <v>464</v>
      </c>
      <c r="E990" s="1"/>
      <c r="F990" s="1"/>
      <c r="G990" s="178" t="s">
        <v>465</v>
      </c>
      <c r="H990" s="123" t="s">
        <v>106</v>
      </c>
      <c r="I990" s="178" t="s">
        <v>465</v>
      </c>
      <c r="J990" s="123" t="s">
        <v>106</v>
      </c>
      <c r="K990" s="123"/>
      <c r="L990" s="178" t="s">
        <v>465</v>
      </c>
      <c r="M990" s="123" t="s">
        <v>106</v>
      </c>
    </row>
    <row r="991" spans="1:13" ht="12">
      <c r="A991" s="15" t="s">
        <v>1</v>
      </c>
      <c r="B991" s="15"/>
      <c r="C991" s="363" t="s">
        <v>1</v>
      </c>
      <c r="D991" s="15" t="s">
        <v>1</v>
      </c>
      <c r="E991" s="15" t="s">
        <v>1</v>
      </c>
      <c r="F991" s="15"/>
      <c r="G991" s="15" t="s">
        <v>1</v>
      </c>
      <c r="H991" s="15" t="s">
        <v>1</v>
      </c>
      <c r="I991" s="15" t="s">
        <v>1</v>
      </c>
      <c r="J991" s="15" t="s">
        <v>1</v>
      </c>
      <c r="K991" s="15"/>
      <c r="L991" s="15" t="s">
        <v>1</v>
      </c>
      <c r="M991" s="176" t="s">
        <v>1</v>
      </c>
    </row>
    <row r="992" spans="1:13" ht="12">
      <c r="A992" s="41">
        <v>1</v>
      </c>
      <c r="B992" s="41"/>
      <c r="C992" s="5" t="s">
        <v>107</v>
      </c>
      <c r="E992" s="41">
        <v>1</v>
      </c>
      <c r="F992" s="41"/>
      <c r="G992" s="192"/>
      <c r="H992" s="192"/>
      <c r="I992" s="192"/>
      <c r="J992" s="192"/>
      <c r="K992" s="192"/>
      <c r="L992" s="192"/>
      <c r="M992" s="192"/>
    </row>
    <row r="993" spans="1:13" ht="12">
      <c r="A993" s="41">
        <v>2</v>
      </c>
      <c r="B993" s="41"/>
      <c r="C993" s="5" t="s">
        <v>620</v>
      </c>
      <c r="D993" s="5" t="s">
        <v>466</v>
      </c>
      <c r="E993" s="41">
        <v>2</v>
      </c>
      <c r="F993" s="41"/>
      <c r="G993" s="192"/>
      <c r="H993" s="192">
        <f>25072420</f>
        <v>25072420</v>
      </c>
      <c r="I993" s="192"/>
      <c r="J993" s="192"/>
      <c r="K993" s="192"/>
      <c r="L993" s="192"/>
      <c r="M993" s="192"/>
    </row>
    <row r="994" spans="1:13" ht="12">
      <c r="A994" s="41">
        <v>3</v>
      </c>
      <c r="B994" s="41"/>
      <c r="C994" s="5" t="s">
        <v>620</v>
      </c>
      <c r="D994" s="366" t="s">
        <v>467</v>
      </c>
      <c r="E994" s="41">
        <v>3</v>
      </c>
      <c r="F994" s="41"/>
      <c r="G994" s="179"/>
      <c r="H994" s="192">
        <f>7843035</f>
        <v>7843035</v>
      </c>
      <c r="I994" s="179"/>
      <c r="J994" s="192"/>
      <c r="K994" s="192"/>
      <c r="L994" s="192"/>
      <c r="M994" s="192"/>
    </row>
    <row r="995" spans="1:13" ht="12">
      <c r="A995" s="41">
        <v>4</v>
      </c>
      <c r="B995" s="41"/>
      <c r="C995" s="5" t="s">
        <v>620</v>
      </c>
      <c r="D995" s="5" t="s">
        <v>468</v>
      </c>
      <c r="E995" s="41">
        <v>4</v>
      </c>
      <c r="F995" s="41"/>
      <c r="G995" s="192"/>
      <c r="J995" s="192">
        <f>3760000</f>
        <v>3760000</v>
      </c>
      <c r="K995" s="192"/>
      <c r="L995" s="192"/>
      <c r="M995" s="192"/>
    </row>
    <row r="996" spans="1:13" ht="12">
      <c r="A996" s="41">
        <v>5</v>
      </c>
      <c r="B996" s="41"/>
      <c r="C996" s="5" t="s">
        <v>621</v>
      </c>
      <c r="D996" s="5" t="s">
        <v>466</v>
      </c>
      <c r="E996" s="41">
        <v>5</v>
      </c>
      <c r="F996" s="41"/>
      <c r="G996" s="192"/>
      <c r="H996" s="192">
        <f>13524930</f>
        <v>13524930</v>
      </c>
      <c r="I996" s="192"/>
      <c r="J996" s="192"/>
      <c r="K996" s="192"/>
      <c r="L996" s="192"/>
      <c r="M996" s="192"/>
    </row>
    <row r="997" spans="1:13" ht="12">
      <c r="A997" s="41">
        <v>6</v>
      </c>
      <c r="B997" s="41"/>
      <c r="C997" s="5" t="s">
        <v>622</v>
      </c>
      <c r="D997" s="5" t="s">
        <v>469</v>
      </c>
      <c r="E997" s="41">
        <v>6</v>
      </c>
      <c r="F997" s="41"/>
      <c r="G997" s="192"/>
      <c r="H997" s="192"/>
      <c r="I997" s="192">
        <f>2236422</f>
        <v>2236422</v>
      </c>
      <c r="J997" s="192">
        <f>4931994</f>
        <v>4931994</v>
      </c>
      <c r="K997" s="192"/>
      <c r="L997" s="192"/>
      <c r="M997" s="192"/>
    </row>
    <row r="998" spans="1:13" ht="12">
      <c r="A998" s="41">
        <v>7</v>
      </c>
      <c r="B998" s="41"/>
      <c r="C998" s="5" t="s">
        <v>622</v>
      </c>
      <c r="D998" s="5" t="s">
        <v>470</v>
      </c>
      <c r="E998" s="41">
        <v>7</v>
      </c>
      <c r="F998" s="41"/>
      <c r="G998" s="192"/>
      <c r="H998" s="192"/>
      <c r="I998" s="192"/>
      <c r="L998" s="192">
        <f>9168742</f>
        <v>9168742</v>
      </c>
      <c r="M998" s="192">
        <f>20219881</f>
        <v>20219881</v>
      </c>
    </row>
    <row r="999" spans="1:13" ht="12">
      <c r="A999" s="41">
        <v>8</v>
      </c>
      <c r="B999" s="41"/>
      <c r="C999" s="5" t="s">
        <v>623</v>
      </c>
      <c r="D999" s="5" t="s">
        <v>471</v>
      </c>
      <c r="E999" s="41">
        <v>8</v>
      </c>
      <c r="F999" s="41"/>
      <c r="G999" s="192"/>
      <c r="H999" s="192"/>
      <c r="I999" s="192"/>
      <c r="J999" s="192">
        <f>5712500</f>
        <v>5712500</v>
      </c>
      <c r="K999" s="192"/>
      <c r="L999" s="192"/>
      <c r="M999" s="192"/>
    </row>
    <row r="1000" spans="1:13" ht="12">
      <c r="A1000" s="41">
        <v>9</v>
      </c>
      <c r="B1000" s="41"/>
      <c r="C1000" s="5" t="s">
        <v>624</v>
      </c>
      <c r="D1000" s="5" t="s">
        <v>470</v>
      </c>
      <c r="E1000" s="41">
        <v>9</v>
      </c>
      <c r="F1000" s="41"/>
      <c r="G1000" s="192"/>
      <c r="H1000" s="192"/>
      <c r="I1000" s="192"/>
      <c r="J1000" s="192"/>
      <c r="K1000" s="192"/>
      <c r="L1000" s="192"/>
      <c r="M1000" s="192">
        <f>5101051</f>
        <v>5101051</v>
      </c>
    </row>
    <row r="1001" spans="1:13" ht="12">
      <c r="A1001" s="41">
        <v>10</v>
      </c>
      <c r="B1001" s="41"/>
      <c r="C1001" s="5" t="s">
        <v>625</v>
      </c>
      <c r="D1001" s="5" t="s">
        <v>472</v>
      </c>
      <c r="E1001" s="41">
        <v>10</v>
      </c>
      <c r="F1001" s="41"/>
      <c r="G1001" s="192"/>
      <c r="H1001" s="192"/>
      <c r="I1001" s="192"/>
      <c r="J1001" s="192"/>
      <c r="K1001" s="192"/>
      <c r="L1001" s="192"/>
      <c r="M1001" s="192">
        <f>12960000</f>
        <v>12960000</v>
      </c>
    </row>
    <row r="1002" spans="1:13" ht="12">
      <c r="A1002" s="41">
        <v>11</v>
      </c>
      <c r="B1002" s="41"/>
      <c r="C1002" s="5" t="s">
        <v>626</v>
      </c>
      <c r="D1002" s="5" t="s">
        <v>472</v>
      </c>
      <c r="E1002" s="41">
        <v>11</v>
      </c>
      <c r="F1002" s="41"/>
      <c r="J1002" s="192"/>
      <c r="K1002" s="192"/>
      <c r="L1002" s="192"/>
      <c r="M1002" s="192">
        <f>2637041</f>
        <v>2637041</v>
      </c>
    </row>
    <row r="1003" spans="1:13" ht="12">
      <c r="A1003" s="41">
        <v>12</v>
      </c>
      <c r="B1003" s="41"/>
      <c r="C1003" s="5" t="s">
        <v>627</v>
      </c>
      <c r="D1003" s="5" t="s">
        <v>472</v>
      </c>
      <c r="E1003" s="41">
        <v>12</v>
      </c>
      <c r="F1003" s="41"/>
      <c r="J1003" s="192"/>
      <c r="K1003" s="192"/>
      <c r="L1003" s="192"/>
      <c r="M1003" s="192">
        <f>67000000</f>
        <v>67000000</v>
      </c>
    </row>
    <row r="1004" spans="1:13" ht="12">
      <c r="A1004" s="41">
        <v>13</v>
      </c>
      <c r="B1004" s="41"/>
      <c r="C1004" s="367" t="s">
        <v>108</v>
      </c>
      <c r="D1004" s="368"/>
      <c r="E1004" s="41">
        <v>13</v>
      </c>
      <c r="F1004" s="41"/>
      <c r="J1004" s="192"/>
      <c r="K1004" s="192"/>
      <c r="L1004" s="192"/>
      <c r="M1004" s="192"/>
    </row>
    <row r="1005" spans="1:13" ht="12">
      <c r="A1005" s="41">
        <v>14</v>
      </c>
      <c r="B1005" s="41"/>
      <c r="C1005" s="367" t="s">
        <v>628</v>
      </c>
      <c r="D1005" s="5" t="s">
        <v>466</v>
      </c>
      <c r="E1005" s="41">
        <v>14</v>
      </c>
      <c r="F1005" s="41"/>
      <c r="G1005" s="192">
        <f>361961</f>
        <v>361961</v>
      </c>
      <c r="H1005" s="192"/>
      <c r="I1005" s="192"/>
      <c r="J1005" s="192"/>
      <c r="K1005" s="192"/>
      <c r="L1005" s="192"/>
      <c r="M1005" s="192"/>
    </row>
    <row r="1006" spans="1:13" ht="12">
      <c r="A1006" s="41">
        <v>15</v>
      </c>
      <c r="B1006" s="41"/>
      <c r="C1006" s="367" t="s">
        <v>629</v>
      </c>
      <c r="D1006" s="5" t="s">
        <v>466</v>
      </c>
      <c r="E1006" s="41">
        <v>15</v>
      </c>
      <c r="F1006" s="41"/>
      <c r="G1006" s="192">
        <f>359755</f>
        <v>359755</v>
      </c>
      <c r="H1006" s="192"/>
      <c r="I1006" s="192"/>
      <c r="J1006" s="192"/>
      <c r="K1006" s="192"/>
      <c r="L1006" s="192"/>
      <c r="M1006" s="192"/>
    </row>
    <row r="1007" spans="1:13" ht="24">
      <c r="A1007" s="41">
        <v>16</v>
      </c>
      <c r="B1007" s="41"/>
      <c r="C1007" s="367" t="s">
        <v>630</v>
      </c>
      <c r="D1007" s="5" t="s">
        <v>466</v>
      </c>
      <c r="E1007" s="41">
        <v>16</v>
      </c>
      <c r="F1007" s="41"/>
      <c r="G1007" s="192">
        <f>914654</f>
        <v>914654</v>
      </c>
      <c r="H1007" s="192"/>
      <c r="I1007" s="192"/>
      <c r="J1007" s="192"/>
      <c r="K1007" s="192"/>
      <c r="L1007" s="192"/>
      <c r="M1007" s="192"/>
    </row>
    <row r="1008" spans="1:13" ht="12">
      <c r="A1008" s="41">
        <v>17</v>
      </c>
      <c r="B1008" s="41"/>
      <c r="C1008" s="367" t="s">
        <v>631</v>
      </c>
      <c r="D1008" s="369" t="s">
        <v>467</v>
      </c>
      <c r="E1008" s="41">
        <v>17</v>
      </c>
      <c r="F1008" s="41"/>
      <c r="G1008" s="192">
        <f>158734</f>
        <v>158734</v>
      </c>
      <c r="H1008" s="192"/>
      <c r="I1008" s="192"/>
      <c r="J1008" s="192"/>
      <c r="K1008" s="192"/>
      <c r="L1008" s="192"/>
      <c r="M1008" s="192"/>
    </row>
    <row r="1009" spans="1:13" ht="12">
      <c r="A1009" s="41">
        <v>18</v>
      </c>
      <c r="B1009" s="41"/>
      <c r="C1009" s="367" t="s">
        <v>632</v>
      </c>
      <c r="D1009" s="369" t="s">
        <v>467</v>
      </c>
      <c r="E1009" s="41">
        <v>18</v>
      </c>
      <c r="F1009" s="41"/>
      <c r="G1009" s="192">
        <f>563000</f>
        <v>563000</v>
      </c>
      <c r="H1009" s="192"/>
      <c r="I1009" s="192"/>
      <c r="J1009" s="192"/>
      <c r="K1009" s="192"/>
      <c r="L1009" s="192"/>
      <c r="M1009" s="192"/>
    </row>
    <row r="1010" spans="1:13" ht="24">
      <c r="A1010" s="41">
        <v>19</v>
      </c>
      <c r="B1010" s="41"/>
      <c r="C1010" s="367" t="s">
        <v>633</v>
      </c>
      <c r="D1010" s="369" t="s">
        <v>467</v>
      </c>
      <c r="E1010" s="41">
        <v>19</v>
      </c>
      <c r="F1010" s="41"/>
      <c r="G1010" s="192">
        <f>584011</f>
        <v>584011</v>
      </c>
      <c r="H1010" s="192"/>
      <c r="I1010" s="192"/>
      <c r="J1010" s="192"/>
      <c r="K1010" s="192"/>
      <c r="L1010" s="192"/>
      <c r="M1010" s="192"/>
    </row>
    <row r="1011" spans="1:13" ht="12">
      <c r="A1011" s="41">
        <v>20</v>
      </c>
      <c r="B1011" s="41"/>
      <c r="C1011" s="5" t="s">
        <v>634</v>
      </c>
      <c r="D1011" s="369" t="s">
        <v>467</v>
      </c>
      <c r="E1011" s="41">
        <v>20</v>
      </c>
      <c r="F1011" s="41"/>
      <c r="G1011" s="192">
        <f>186765</f>
        <v>186765</v>
      </c>
      <c r="H1011" s="192"/>
      <c r="I1011" s="192"/>
      <c r="J1011" s="192"/>
      <c r="K1011" s="192"/>
      <c r="L1011" s="192"/>
      <c r="M1011" s="192"/>
    </row>
    <row r="1012" spans="1:13" ht="12">
      <c r="A1012" s="41">
        <v>21</v>
      </c>
      <c r="B1012" s="41"/>
      <c r="C1012" s="367" t="s">
        <v>635</v>
      </c>
      <c r="D1012" s="369" t="s">
        <v>467</v>
      </c>
      <c r="E1012" s="41">
        <v>21</v>
      </c>
      <c r="F1012" s="41"/>
      <c r="G1012" s="192">
        <f>289663</f>
        <v>289663</v>
      </c>
      <c r="H1012" s="192"/>
      <c r="I1012" s="192">
        <f>658848</f>
        <v>658848</v>
      </c>
      <c r="J1012" s="192"/>
      <c r="K1012" s="192"/>
      <c r="L1012" s="192"/>
      <c r="M1012" s="192"/>
    </row>
    <row r="1013" spans="1:13" ht="12">
      <c r="A1013" s="41">
        <v>22</v>
      </c>
      <c r="B1013" s="41"/>
      <c r="C1013" s="5" t="s">
        <v>636</v>
      </c>
      <c r="D1013" s="369" t="s">
        <v>467</v>
      </c>
      <c r="E1013" s="41">
        <v>22</v>
      </c>
      <c r="F1013" s="41"/>
      <c r="G1013" s="192"/>
      <c r="H1013" s="192"/>
      <c r="I1013" s="192">
        <f>540649</f>
        <v>540649</v>
      </c>
      <c r="J1013" s="192"/>
      <c r="K1013" s="192"/>
      <c r="L1013" s="192"/>
      <c r="M1013" s="192"/>
    </row>
    <row r="1014" spans="1:13" ht="12">
      <c r="A1014" s="41">
        <v>23</v>
      </c>
      <c r="B1014" s="41"/>
      <c r="C1014" s="5" t="s">
        <v>637</v>
      </c>
      <c r="D1014" s="5" t="s">
        <v>470</v>
      </c>
      <c r="E1014" s="41">
        <v>23</v>
      </c>
      <c r="F1014" s="41"/>
      <c r="G1014" s="192"/>
      <c r="H1014" s="192"/>
      <c r="J1014" s="192"/>
      <c r="K1014" s="192"/>
      <c r="L1014" s="192">
        <f>507011</f>
        <v>507011</v>
      </c>
      <c r="M1014" s="192"/>
    </row>
    <row r="1015" spans="1:9" ht="21.75" customHeight="1">
      <c r="A1015" s="41">
        <v>24</v>
      </c>
      <c r="B1015" s="41"/>
      <c r="C1015" s="367" t="s">
        <v>638</v>
      </c>
      <c r="D1015" s="369" t="s">
        <v>467</v>
      </c>
      <c r="E1015" s="41">
        <v>24</v>
      </c>
      <c r="F1015" s="41"/>
      <c r="I1015" s="192">
        <f>889618</f>
        <v>889618</v>
      </c>
    </row>
    <row r="1016" spans="1:12" ht="21.75" customHeight="1">
      <c r="A1016" s="41">
        <v>25</v>
      </c>
      <c r="B1016" s="41"/>
      <c r="C1016" s="367" t="s">
        <v>639</v>
      </c>
      <c r="D1016" s="5" t="s">
        <v>470</v>
      </c>
      <c r="E1016" s="41">
        <v>25</v>
      </c>
      <c r="F1016" s="41"/>
      <c r="L1016" s="192">
        <f>765766</f>
        <v>765766</v>
      </c>
    </row>
    <row r="1017" spans="1:12" ht="12">
      <c r="A1017" s="41">
        <v>26</v>
      </c>
      <c r="B1017" s="41"/>
      <c r="C1017" s="5" t="s">
        <v>640</v>
      </c>
      <c r="D1017" s="5" t="s">
        <v>470</v>
      </c>
      <c r="E1017" s="41">
        <v>26</v>
      </c>
      <c r="F1017" s="41"/>
      <c r="L1017" s="192">
        <f>451742</f>
        <v>451742</v>
      </c>
    </row>
    <row r="1018" spans="1:12" ht="12">
      <c r="A1018" s="41">
        <v>27</v>
      </c>
      <c r="B1018" s="41"/>
      <c r="C1018" s="5" t="s">
        <v>641</v>
      </c>
      <c r="D1018" s="5" t="s">
        <v>470</v>
      </c>
      <c r="E1018" s="41">
        <v>27</v>
      </c>
      <c r="F1018" s="41"/>
      <c r="L1018" s="192">
        <f>425252</f>
        <v>425252</v>
      </c>
    </row>
    <row r="1019" spans="1:12" ht="11.25" customHeight="1">
      <c r="A1019" s="41">
        <v>28</v>
      </c>
      <c r="B1019" s="41"/>
      <c r="C1019" s="5" t="s">
        <v>642</v>
      </c>
      <c r="D1019" s="5" t="s">
        <v>470</v>
      </c>
      <c r="E1019" s="41">
        <v>28</v>
      </c>
      <c r="F1019" s="41"/>
      <c r="L1019" s="192">
        <f>362351</f>
        <v>362351</v>
      </c>
    </row>
    <row r="1020" spans="1:12" ht="12">
      <c r="A1020" s="41">
        <v>29</v>
      </c>
      <c r="B1020" s="41"/>
      <c r="C1020" s="5" t="s">
        <v>643</v>
      </c>
      <c r="D1020" s="5" t="s">
        <v>470</v>
      </c>
      <c r="E1020" s="41">
        <v>29</v>
      </c>
      <c r="F1020" s="41"/>
      <c r="L1020" s="192">
        <f>535203</f>
        <v>535203</v>
      </c>
    </row>
    <row r="1021" spans="1:12" ht="12">
      <c r="A1021" s="186">
        <v>30</v>
      </c>
      <c r="B1021" s="186"/>
      <c r="C1021" s="5" t="s">
        <v>644</v>
      </c>
      <c r="D1021" s="5" t="s">
        <v>470</v>
      </c>
      <c r="E1021" s="186">
        <v>30</v>
      </c>
      <c r="F1021" s="186"/>
      <c r="L1021" s="192">
        <f>217568</f>
        <v>217568</v>
      </c>
    </row>
    <row r="1022" spans="1:13" ht="12">
      <c r="A1022" s="187" t="s">
        <v>1</v>
      </c>
      <c r="B1022" s="187"/>
      <c r="C1022" s="19" t="s">
        <v>1</v>
      </c>
      <c r="D1022" s="19" t="s">
        <v>1</v>
      </c>
      <c r="E1022" s="187"/>
      <c r="F1022" s="187"/>
      <c r="G1022" s="176" t="s">
        <v>1</v>
      </c>
      <c r="H1022" s="176" t="s">
        <v>1</v>
      </c>
      <c r="I1022" s="176" t="s">
        <v>1</v>
      </c>
      <c r="J1022" s="176" t="s">
        <v>1</v>
      </c>
      <c r="K1022" s="176"/>
      <c r="L1022" s="176" t="s">
        <v>1</v>
      </c>
      <c r="M1022" s="176" t="s">
        <v>1</v>
      </c>
    </row>
    <row r="1023" spans="1:13" ht="12">
      <c r="A1023" s="186">
        <v>31</v>
      </c>
      <c r="B1023" s="186"/>
      <c r="C1023" s="364" t="s">
        <v>473</v>
      </c>
      <c r="D1023" s="369"/>
      <c r="E1023" s="186">
        <v>31</v>
      </c>
      <c r="F1023" s="186"/>
      <c r="G1023" s="86">
        <f aca="true" t="shared" si="42" ref="G1023:M1023">SUM(G992:G1022)</f>
        <v>3418543</v>
      </c>
      <c r="H1023" s="86">
        <f t="shared" si="42"/>
        <v>46440385</v>
      </c>
      <c r="I1023" s="86">
        <f t="shared" si="42"/>
        <v>4325537</v>
      </c>
      <c r="J1023" s="86">
        <f t="shared" si="42"/>
        <v>14404494</v>
      </c>
      <c r="K1023" s="86"/>
      <c r="L1023" s="86">
        <f t="shared" si="42"/>
        <v>12433635</v>
      </c>
      <c r="M1023" s="86">
        <f t="shared" si="42"/>
        <v>107917973</v>
      </c>
    </row>
    <row r="1024" spans="1:13" ht="12">
      <c r="A1024" s="24" t="s">
        <v>1</v>
      </c>
      <c r="B1024" s="24"/>
      <c r="C1024" s="24" t="s">
        <v>1</v>
      </c>
      <c r="D1024" s="24" t="s">
        <v>1</v>
      </c>
      <c r="E1024" s="24"/>
      <c r="F1024" s="24"/>
      <c r="G1024" s="176" t="s">
        <v>1</v>
      </c>
      <c r="H1024" s="176" t="s">
        <v>1</v>
      </c>
      <c r="I1024" s="176" t="s">
        <v>1</v>
      </c>
      <c r="J1024" s="176" t="s">
        <v>1</v>
      </c>
      <c r="K1024" s="176"/>
      <c r="L1024" s="176" t="s">
        <v>1</v>
      </c>
      <c r="M1024" s="176" t="s">
        <v>1</v>
      </c>
    </row>
    <row r="1025" spans="1:13" ht="12">
      <c r="A1025" s="24"/>
      <c r="B1025" s="24"/>
      <c r="C1025" s="24" t="s">
        <v>474</v>
      </c>
      <c r="D1025" s="24"/>
      <c r="E1025" s="24"/>
      <c r="F1025" s="24"/>
      <c r="G1025" s="176"/>
      <c r="H1025" s="176"/>
      <c r="I1025" s="176"/>
      <c r="J1025" s="176"/>
      <c r="K1025" s="176"/>
      <c r="L1025" s="176"/>
      <c r="M1025" s="176"/>
    </row>
    <row r="1026" spans="1:13" ht="12">
      <c r="A1026" s="24"/>
      <c r="B1026" s="24"/>
      <c r="C1026" s="24" t="s">
        <v>475</v>
      </c>
      <c r="D1026" s="24"/>
      <c r="E1026" s="24"/>
      <c r="F1026" s="24"/>
      <c r="G1026" s="176"/>
      <c r="H1026" s="176"/>
      <c r="I1026" s="176"/>
      <c r="J1026" s="176"/>
      <c r="K1026" s="176"/>
      <c r="L1026" s="176"/>
      <c r="M1026" s="176"/>
    </row>
  </sheetData>
  <sheetProtection/>
  <mergeCells count="32">
    <mergeCell ref="A83:M83"/>
    <mergeCell ref="A173:M173"/>
    <mergeCell ref="A225:M225"/>
    <mergeCell ref="A274:M274"/>
    <mergeCell ref="A321:M321"/>
    <mergeCell ref="A370:M370"/>
    <mergeCell ref="A420:M420"/>
    <mergeCell ref="A457:M457"/>
    <mergeCell ref="A493:M493"/>
    <mergeCell ref="A526:M526"/>
    <mergeCell ref="A563:M563"/>
    <mergeCell ref="A601:M601"/>
    <mergeCell ref="A640:M640"/>
    <mergeCell ref="A678:M678"/>
    <mergeCell ref="A716:M716"/>
    <mergeCell ref="A752:M752"/>
    <mergeCell ref="A789:M789"/>
    <mergeCell ref="A825:M825"/>
    <mergeCell ref="A876:M876"/>
    <mergeCell ref="A915:M915"/>
    <mergeCell ref="A951:M951"/>
    <mergeCell ref="A985:M985"/>
    <mergeCell ref="A986:H986"/>
    <mergeCell ref="G988:H988"/>
    <mergeCell ref="I988:J988"/>
    <mergeCell ref="L988:M988"/>
    <mergeCell ref="A42:M42"/>
    <mergeCell ref="A6:M6"/>
    <mergeCell ref="A9:M9"/>
    <mergeCell ref="A10:M10"/>
    <mergeCell ref="A21:M21"/>
    <mergeCell ref="A37:M37"/>
  </mergeCells>
  <printOptions/>
  <pageMargins left="0.75" right="0.75" top="1" bottom="1" header="0.5" footer="0.5"/>
  <pageSetup fitToHeight="0" fitToWidth="1" horizontalDpi="600" verticalDpi="600" orientation="landscape" scale="72" r:id="rId1"/>
  <rowBreaks count="23" manualBreakCount="23">
    <brk id="38" max="12" man="1"/>
    <brk id="80" max="12" man="1"/>
    <brk id="171" max="12" man="1"/>
    <brk id="223" max="255" man="1"/>
    <brk id="272" max="255" man="1"/>
    <brk id="319" max="255" man="1"/>
    <brk id="368" max="255" man="1"/>
    <brk id="418" max="255" man="1"/>
    <brk id="455" max="255" man="1"/>
    <brk id="491" max="255" man="1"/>
    <brk id="524" max="255" man="1"/>
    <brk id="561" max="255" man="1"/>
    <brk id="599" max="255" man="1"/>
    <brk id="638" max="255" man="1"/>
    <brk id="675" max="12" man="1"/>
    <brk id="712" max="12" man="1"/>
    <brk id="749" max="12" man="1"/>
    <brk id="786" max="12" man="1"/>
    <brk id="822" max="12" man="1"/>
    <brk id="873" max="12" man="1"/>
    <brk id="912" max="12" man="1"/>
    <brk id="948" max="12" man="1"/>
    <brk id="9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V1130"/>
  <sheetViews>
    <sheetView showGridLines="0" view="pageBreakPreview" zoomScale="75" zoomScaleNormal="75" zoomScaleSheetLayoutView="75" zoomScalePageLayoutView="0" workbookViewId="0" topLeftCell="A418">
      <selection activeCell="D428" sqref="D428"/>
    </sheetView>
  </sheetViews>
  <sheetFormatPr defaultColWidth="9.625" defaultRowHeight="12.75"/>
  <cols>
    <col min="1" max="1" width="5.625" style="5" customWidth="1"/>
    <col min="2" max="2" width="1.875" style="5" customWidth="1"/>
    <col min="3" max="3" width="33.125" style="5" customWidth="1"/>
    <col min="4" max="4" width="24.125" style="5" customWidth="1"/>
    <col min="5" max="6" width="8.125" style="5" customWidth="1"/>
    <col min="7" max="7" width="7.50390625" style="5" customWidth="1"/>
    <col min="8" max="8" width="13.75390625" style="5" customWidth="1"/>
    <col min="9" max="9" width="11.625" style="48" customWidth="1"/>
    <col min="10" max="10" width="12.625" style="17" customWidth="1"/>
    <col min="11" max="11" width="8.875" style="5" customWidth="1"/>
    <col min="12" max="12" width="8.625" style="48" customWidth="1"/>
    <col min="13" max="13" width="14.00390625" style="17" bestFit="1" customWidth="1"/>
    <col min="14" max="16384" width="9.625" style="5" customWidth="1"/>
  </cols>
  <sheetData>
    <row r="2" ht="12">
      <c r="M2" s="65" t="s">
        <v>158</v>
      </c>
    </row>
    <row r="3" ht="12">
      <c r="M3" s="66" t="s">
        <v>288</v>
      </c>
    </row>
    <row r="5" spans="1:13" ht="45">
      <c r="A5" s="424" t="s">
        <v>157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</row>
    <row r="8" spans="1:13" s="67" customFormat="1" ht="33">
      <c r="A8" s="425" t="s">
        <v>285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</row>
    <row r="9" spans="1:13" s="67" customFormat="1" ht="33">
      <c r="A9" s="425" t="s">
        <v>286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</row>
    <row r="20" spans="1:13" ht="45">
      <c r="A20" s="426" t="s">
        <v>294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</row>
    <row r="36" spans="1:13" ht="27">
      <c r="A36" s="427" t="s">
        <v>287</v>
      </c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</row>
    <row r="39" spans="1:13" ht="12">
      <c r="A39" s="41"/>
      <c r="C39" s="4"/>
      <c r="E39" s="41"/>
      <c r="F39" s="27"/>
      <c r="G39" s="27"/>
      <c r="H39" s="27"/>
      <c r="I39" s="39"/>
      <c r="J39" s="40"/>
      <c r="K39" s="27"/>
      <c r="L39" s="39"/>
      <c r="M39" s="40"/>
    </row>
    <row r="40" spans="1:13" ht="12">
      <c r="A40" s="68"/>
      <c r="I40" s="6"/>
      <c r="M40" s="69" t="s">
        <v>127</v>
      </c>
    </row>
    <row r="41" spans="1:13" ht="12">
      <c r="A41" s="422" t="s">
        <v>126</v>
      </c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</row>
    <row r="42" spans="1:13" ht="12">
      <c r="A42" s="70" t="s">
        <v>342</v>
      </c>
      <c r="I42" s="6"/>
      <c r="K42" s="71"/>
      <c r="L42" s="6"/>
      <c r="M42" s="72" t="str">
        <f>$M$3</f>
        <v>Date: 10/1/2007</v>
      </c>
    </row>
    <row r="43" spans="1:13" ht="12">
      <c r="A43" s="15" t="s">
        <v>1</v>
      </c>
      <c r="B43" s="15" t="s">
        <v>1</v>
      </c>
      <c r="C43" s="15" t="s">
        <v>1</v>
      </c>
      <c r="D43" s="15" t="s">
        <v>1</v>
      </c>
      <c r="E43" s="15" t="s">
        <v>1</v>
      </c>
      <c r="F43" s="15" t="s">
        <v>1</v>
      </c>
      <c r="G43" s="15"/>
      <c r="H43" s="15"/>
      <c r="I43" s="16" t="s">
        <v>1</v>
      </c>
      <c r="J43" s="19" t="s">
        <v>1</v>
      </c>
      <c r="K43" s="15" t="s">
        <v>1</v>
      </c>
      <c r="L43" s="16" t="s">
        <v>1</v>
      </c>
      <c r="M43" s="19" t="s">
        <v>1</v>
      </c>
    </row>
    <row r="44" spans="1:13" ht="12">
      <c r="A44" s="73" t="s">
        <v>2</v>
      </c>
      <c r="C44" s="4" t="s">
        <v>3</v>
      </c>
      <c r="E44" s="73" t="s">
        <v>2</v>
      </c>
      <c r="F44" s="1"/>
      <c r="G44" s="1"/>
      <c r="H44" s="1" t="s">
        <v>172</v>
      </c>
      <c r="I44" s="2"/>
      <c r="J44" s="3" t="s">
        <v>280</v>
      </c>
      <c r="K44" s="1"/>
      <c r="L44" s="2"/>
      <c r="M44" s="3" t="s">
        <v>289</v>
      </c>
    </row>
    <row r="45" spans="1:13" ht="12">
      <c r="A45" s="73" t="s">
        <v>4</v>
      </c>
      <c r="C45" s="74" t="s">
        <v>5</v>
      </c>
      <c r="E45" s="73" t="s">
        <v>4</v>
      </c>
      <c r="F45" s="1"/>
      <c r="G45" s="1" t="s">
        <v>21</v>
      </c>
      <c r="H45" s="1" t="s">
        <v>7</v>
      </c>
      <c r="I45" s="2" t="s">
        <v>6</v>
      </c>
      <c r="J45" s="3" t="s">
        <v>7</v>
      </c>
      <c r="K45" s="1"/>
      <c r="L45" s="2" t="s">
        <v>6</v>
      </c>
      <c r="M45" s="3" t="s">
        <v>8</v>
      </c>
    </row>
    <row r="46" spans="1:13" ht="12">
      <c r="A46" s="15" t="s">
        <v>1</v>
      </c>
      <c r="B46" s="15" t="s">
        <v>1</v>
      </c>
      <c r="C46" s="15" t="s">
        <v>1</v>
      </c>
      <c r="D46" s="15" t="s">
        <v>1</v>
      </c>
      <c r="E46" s="15" t="s">
        <v>1</v>
      </c>
      <c r="F46" s="15" t="s">
        <v>1</v>
      </c>
      <c r="G46" s="15"/>
      <c r="H46" s="15"/>
      <c r="I46" s="16" t="s">
        <v>1</v>
      </c>
      <c r="J46" s="19" t="s">
        <v>1</v>
      </c>
      <c r="K46" s="15" t="s">
        <v>1</v>
      </c>
      <c r="L46" s="16" t="s">
        <v>1</v>
      </c>
      <c r="M46" s="19" t="s">
        <v>1</v>
      </c>
    </row>
    <row r="47" spans="1:13" ht="12">
      <c r="A47" s="41">
        <v>1</v>
      </c>
      <c r="C47" s="4" t="s">
        <v>9</v>
      </c>
      <c r="D47" s="14" t="s">
        <v>117</v>
      </c>
      <c r="E47" s="41">
        <v>1</v>
      </c>
      <c r="G47" s="43">
        <v>0</v>
      </c>
      <c r="H47" s="43">
        <v>0</v>
      </c>
      <c r="I47" s="63">
        <v>0</v>
      </c>
      <c r="J47" s="63">
        <v>0</v>
      </c>
      <c r="K47" s="43"/>
      <c r="L47" s="63">
        <v>0</v>
      </c>
      <c r="M47" s="63">
        <v>0</v>
      </c>
    </row>
    <row r="48" spans="1:13" ht="12">
      <c r="A48" s="41">
        <v>2</v>
      </c>
      <c r="C48" s="4" t="s">
        <v>10</v>
      </c>
      <c r="D48" s="14" t="s">
        <v>118</v>
      </c>
      <c r="E48" s="41">
        <v>2</v>
      </c>
      <c r="G48" s="43">
        <v>0</v>
      </c>
      <c r="H48" s="43">
        <v>0</v>
      </c>
      <c r="I48" s="63">
        <v>0</v>
      </c>
      <c r="J48" s="63">
        <v>0</v>
      </c>
      <c r="K48" s="43"/>
      <c r="L48" s="63">
        <v>0</v>
      </c>
      <c r="M48" s="63">
        <v>0</v>
      </c>
    </row>
    <row r="49" spans="1:13" ht="12">
      <c r="A49" s="41">
        <v>3</v>
      </c>
      <c r="C49" s="4" t="s">
        <v>11</v>
      </c>
      <c r="D49" s="14" t="s">
        <v>119</v>
      </c>
      <c r="E49" s="41">
        <v>3</v>
      </c>
      <c r="G49" s="43">
        <v>0</v>
      </c>
      <c r="H49" s="43">
        <v>0</v>
      </c>
      <c r="I49" s="63">
        <v>0</v>
      </c>
      <c r="J49" s="63">
        <v>0</v>
      </c>
      <c r="K49" s="43"/>
      <c r="L49" s="63">
        <v>0</v>
      </c>
      <c r="M49" s="63">
        <v>0</v>
      </c>
    </row>
    <row r="50" spans="1:13" ht="12">
      <c r="A50" s="41">
        <v>4</v>
      </c>
      <c r="C50" s="4" t="s">
        <v>12</v>
      </c>
      <c r="D50" s="14" t="s">
        <v>120</v>
      </c>
      <c r="E50" s="41">
        <v>4</v>
      </c>
      <c r="G50" s="43">
        <v>0</v>
      </c>
      <c r="H50" s="43">
        <v>0</v>
      </c>
      <c r="I50" s="63">
        <v>0</v>
      </c>
      <c r="J50" s="63">
        <v>0</v>
      </c>
      <c r="K50" s="43"/>
      <c r="L50" s="63">
        <v>0</v>
      </c>
      <c r="M50" s="63">
        <v>0</v>
      </c>
    </row>
    <row r="51" spans="1:13" ht="12">
      <c r="A51" s="41">
        <v>5</v>
      </c>
      <c r="C51" s="4" t="s">
        <v>13</v>
      </c>
      <c r="D51" s="14" t="s">
        <v>121</v>
      </c>
      <c r="E51" s="41">
        <v>5</v>
      </c>
      <c r="G51" s="43">
        <v>0</v>
      </c>
      <c r="H51" s="43">
        <v>0</v>
      </c>
      <c r="I51" s="63">
        <v>0</v>
      </c>
      <c r="J51" s="63">
        <v>0</v>
      </c>
      <c r="K51" s="43"/>
      <c r="L51" s="63">
        <v>0</v>
      </c>
      <c r="M51" s="63">
        <v>0</v>
      </c>
    </row>
    <row r="52" spans="1:13" ht="12">
      <c r="A52" s="41">
        <v>6</v>
      </c>
      <c r="C52" s="4" t="s">
        <v>14</v>
      </c>
      <c r="D52" s="14" t="s">
        <v>122</v>
      </c>
      <c r="E52" s="41">
        <v>6</v>
      </c>
      <c r="G52" s="43">
        <v>0</v>
      </c>
      <c r="H52" s="43">
        <v>0</v>
      </c>
      <c r="I52" s="63">
        <v>0</v>
      </c>
      <c r="J52" s="63">
        <v>0</v>
      </c>
      <c r="K52" s="43"/>
      <c r="L52" s="63">
        <v>0</v>
      </c>
      <c r="M52" s="63">
        <v>0</v>
      </c>
    </row>
    <row r="53" spans="1:13" ht="12">
      <c r="A53" s="41">
        <v>7</v>
      </c>
      <c r="C53" s="4" t="s">
        <v>59</v>
      </c>
      <c r="D53" s="14" t="s">
        <v>123</v>
      </c>
      <c r="E53" s="41">
        <v>7</v>
      </c>
      <c r="G53" s="43">
        <v>0</v>
      </c>
      <c r="H53" s="43">
        <v>0</v>
      </c>
      <c r="I53" s="63">
        <v>0</v>
      </c>
      <c r="J53" s="63">
        <v>0</v>
      </c>
      <c r="K53" s="43"/>
      <c r="L53" s="63">
        <v>0</v>
      </c>
      <c r="M53" s="63">
        <v>0</v>
      </c>
    </row>
    <row r="54" spans="1:13" ht="12">
      <c r="A54" s="41">
        <v>8</v>
      </c>
      <c r="C54" s="4" t="s">
        <v>15</v>
      </c>
      <c r="D54" s="14" t="s">
        <v>124</v>
      </c>
      <c r="E54" s="41">
        <v>8</v>
      </c>
      <c r="G54" s="43">
        <v>0</v>
      </c>
      <c r="H54" s="43">
        <v>0</v>
      </c>
      <c r="I54" s="63">
        <v>0</v>
      </c>
      <c r="J54" s="63">
        <v>0</v>
      </c>
      <c r="K54" s="43"/>
      <c r="L54" s="63">
        <v>0</v>
      </c>
      <c r="M54" s="63">
        <v>0</v>
      </c>
    </row>
    <row r="55" spans="1:13" ht="12">
      <c r="A55" s="41">
        <v>9</v>
      </c>
      <c r="C55" s="4" t="s">
        <v>101</v>
      </c>
      <c r="D55" s="14" t="s">
        <v>125</v>
      </c>
      <c r="E55" s="41">
        <v>9</v>
      </c>
      <c r="G55" s="43">
        <v>0</v>
      </c>
      <c r="H55" s="43">
        <v>0</v>
      </c>
      <c r="I55" s="63">
        <v>0</v>
      </c>
      <c r="J55" s="63">
        <v>0</v>
      </c>
      <c r="K55" s="43"/>
      <c r="L55" s="63">
        <v>0</v>
      </c>
      <c r="M55" s="63">
        <v>0</v>
      </c>
    </row>
    <row r="56" spans="1:13" ht="12">
      <c r="A56" s="41">
        <v>10</v>
      </c>
      <c r="C56" s="4" t="s">
        <v>16</v>
      </c>
      <c r="D56" s="14" t="s">
        <v>100</v>
      </c>
      <c r="E56" s="41">
        <v>10</v>
      </c>
      <c r="G56" s="43">
        <v>0</v>
      </c>
      <c r="H56" s="43">
        <v>0</v>
      </c>
      <c r="I56" s="63">
        <v>0</v>
      </c>
      <c r="J56" s="63">
        <v>0</v>
      </c>
      <c r="K56" s="43"/>
      <c r="L56" s="63">
        <v>0</v>
      </c>
      <c r="M56" s="63">
        <v>0</v>
      </c>
    </row>
    <row r="57" spans="1:13" ht="12">
      <c r="A57" s="41"/>
      <c r="C57" s="4"/>
      <c r="D57" s="14"/>
      <c r="E57" s="41"/>
      <c r="F57" s="15" t="s">
        <v>1</v>
      </c>
      <c r="G57" s="15"/>
      <c r="H57" s="15"/>
      <c r="I57" s="16" t="s">
        <v>1</v>
      </c>
      <c r="J57" s="19"/>
      <c r="K57" s="18"/>
      <c r="L57" s="16"/>
      <c r="M57" s="19"/>
    </row>
    <row r="58" spans="1:13" ht="12">
      <c r="A58" s="5">
        <v>11</v>
      </c>
      <c r="C58" s="4" t="s">
        <v>265</v>
      </c>
      <c r="E58" s="5">
        <v>11</v>
      </c>
      <c r="G58" s="43">
        <f>SUM(G47:G56)</f>
        <v>0</v>
      </c>
      <c r="H58" s="43">
        <f>SUM(H47:H56)</f>
        <v>0</v>
      </c>
      <c r="I58" s="63">
        <f>SUM(I47:I56)</f>
        <v>0</v>
      </c>
      <c r="J58" s="63">
        <f>SUM(J47:J56)</f>
        <v>0</v>
      </c>
      <c r="K58" s="43"/>
      <c r="L58" s="63">
        <f>SUM(L47:L56)</f>
        <v>0</v>
      </c>
      <c r="M58" s="63">
        <f>SUM(M47:M56)</f>
        <v>0</v>
      </c>
    </row>
    <row r="59" spans="1:13" ht="12">
      <c r="A59" s="41"/>
      <c r="E59" s="41"/>
      <c r="F59" s="15" t="s">
        <v>1</v>
      </c>
      <c r="G59" s="15"/>
      <c r="H59" s="15"/>
      <c r="I59" s="16" t="s">
        <v>1</v>
      </c>
      <c r="J59" s="19"/>
      <c r="K59" s="18"/>
      <c r="L59" s="16"/>
      <c r="M59" s="19"/>
    </row>
    <row r="60" spans="1:13" ht="12">
      <c r="A60" s="41"/>
      <c r="E60" s="41"/>
      <c r="F60" s="15"/>
      <c r="G60" s="15"/>
      <c r="H60" s="15"/>
      <c r="I60" s="6"/>
      <c r="J60" s="19"/>
      <c r="K60" s="18"/>
      <c r="L60" s="6"/>
      <c r="M60" s="19"/>
    </row>
    <row r="61" spans="1:13" ht="12">
      <c r="A61" s="5">
        <v>12</v>
      </c>
      <c r="C61" s="4" t="s">
        <v>17</v>
      </c>
      <c r="E61" s="5">
        <v>12</v>
      </c>
      <c r="G61" s="43"/>
      <c r="H61" s="43"/>
      <c r="I61" s="63"/>
      <c r="J61" s="63"/>
      <c r="K61" s="43"/>
      <c r="L61" s="63"/>
      <c r="M61" s="63"/>
    </row>
    <row r="62" spans="1:13" ht="12">
      <c r="A62" s="41">
        <v>13</v>
      </c>
      <c r="C62" s="4" t="s">
        <v>226</v>
      </c>
      <c r="D62" s="14" t="s">
        <v>261</v>
      </c>
      <c r="E62" s="41">
        <v>13</v>
      </c>
      <c r="G62" s="43">
        <v>0</v>
      </c>
      <c r="H62" s="43">
        <v>0</v>
      </c>
      <c r="I62" s="43">
        <v>0</v>
      </c>
      <c r="J62" s="43">
        <v>0</v>
      </c>
      <c r="K62" s="43"/>
      <c r="L62" s="43">
        <v>0</v>
      </c>
      <c r="M62" s="43">
        <v>0</v>
      </c>
    </row>
    <row r="63" spans="1:13" ht="12">
      <c r="A63" s="41">
        <v>14</v>
      </c>
      <c r="C63" s="4" t="s">
        <v>227</v>
      </c>
      <c r="D63" s="14" t="s">
        <v>262</v>
      </c>
      <c r="E63" s="41">
        <v>14</v>
      </c>
      <c r="G63" s="43">
        <v>0</v>
      </c>
      <c r="H63" s="43">
        <f>H144</f>
        <v>0</v>
      </c>
      <c r="I63" s="43">
        <v>0</v>
      </c>
      <c r="J63" s="43">
        <f>J144</f>
        <v>0</v>
      </c>
      <c r="K63" s="43"/>
      <c r="L63" s="43">
        <v>0</v>
      </c>
      <c r="M63" s="43">
        <f>M144</f>
        <v>0</v>
      </c>
    </row>
    <row r="64" spans="1:13" ht="12">
      <c r="A64" s="41">
        <v>15</v>
      </c>
      <c r="C64" s="4" t="s">
        <v>256</v>
      </c>
      <c r="D64" s="14"/>
      <c r="E64" s="41">
        <v>15</v>
      </c>
      <c r="G64" s="43"/>
      <c r="H64" s="43">
        <v>0</v>
      </c>
      <c r="I64" s="43"/>
      <c r="J64" s="43">
        <v>0</v>
      </c>
      <c r="K64" s="43"/>
      <c r="L64" s="43"/>
      <c r="M64" s="43">
        <v>0</v>
      </c>
    </row>
    <row r="65" spans="1:13" ht="12">
      <c r="A65" s="41">
        <v>16</v>
      </c>
      <c r="C65" s="4" t="s">
        <v>255</v>
      </c>
      <c r="D65" s="14"/>
      <c r="E65" s="41">
        <v>16</v>
      </c>
      <c r="G65" s="43"/>
      <c r="H65" s="43">
        <v>0</v>
      </c>
      <c r="I65" s="43"/>
      <c r="J65" s="43">
        <v>0</v>
      </c>
      <c r="K65" s="43"/>
      <c r="L65" s="43"/>
      <c r="M65" s="43">
        <v>0</v>
      </c>
    </row>
    <row r="66" spans="1:256" ht="12">
      <c r="A66" s="14">
        <v>17</v>
      </c>
      <c r="B66" s="14"/>
      <c r="C66" s="75" t="s">
        <v>257</v>
      </c>
      <c r="D66" s="14"/>
      <c r="E66" s="14">
        <v>17</v>
      </c>
      <c r="F66" s="14"/>
      <c r="G66" s="63">
        <v>0</v>
      </c>
      <c r="H66" s="63">
        <f>SUM(H64:H65)</f>
        <v>0</v>
      </c>
      <c r="I66" s="63">
        <v>0</v>
      </c>
      <c r="J66" s="63">
        <f>SUM(J64:J65)</f>
        <v>0</v>
      </c>
      <c r="K66" s="75"/>
      <c r="L66" s="63">
        <v>0</v>
      </c>
      <c r="M66" s="63">
        <f>SUM(M64:M65)</f>
        <v>0</v>
      </c>
      <c r="N66" s="14"/>
      <c r="O66" s="75"/>
      <c r="P66" s="14"/>
      <c r="Q66" s="75"/>
      <c r="R66" s="14"/>
      <c r="S66" s="75"/>
      <c r="T66" s="14"/>
      <c r="U66" s="75"/>
      <c r="V66" s="14"/>
      <c r="W66" s="75"/>
      <c r="X66" s="14"/>
      <c r="Y66" s="75"/>
      <c r="Z66" s="14"/>
      <c r="AA66" s="75"/>
      <c r="AB66" s="14"/>
      <c r="AC66" s="75"/>
      <c r="AD66" s="14"/>
      <c r="AE66" s="75"/>
      <c r="AF66" s="14"/>
      <c r="AG66" s="75"/>
      <c r="AH66" s="14"/>
      <c r="AI66" s="75"/>
      <c r="AJ66" s="14"/>
      <c r="AK66" s="75"/>
      <c r="AL66" s="14"/>
      <c r="AM66" s="75"/>
      <c r="AN66" s="14"/>
      <c r="AO66" s="75"/>
      <c r="AP66" s="14"/>
      <c r="AQ66" s="75"/>
      <c r="AR66" s="14"/>
      <c r="AS66" s="75"/>
      <c r="AT66" s="14"/>
      <c r="AU66" s="75"/>
      <c r="AV66" s="14"/>
      <c r="AW66" s="75"/>
      <c r="AX66" s="14"/>
      <c r="AY66" s="75"/>
      <c r="AZ66" s="14"/>
      <c r="BA66" s="75"/>
      <c r="BB66" s="14"/>
      <c r="BC66" s="75"/>
      <c r="BD66" s="14"/>
      <c r="BE66" s="75"/>
      <c r="BF66" s="14"/>
      <c r="BG66" s="75"/>
      <c r="BH66" s="14"/>
      <c r="BI66" s="75"/>
      <c r="BJ66" s="14"/>
      <c r="BK66" s="75"/>
      <c r="BL66" s="14"/>
      <c r="BM66" s="75"/>
      <c r="BN66" s="14"/>
      <c r="BO66" s="75"/>
      <c r="BP66" s="14"/>
      <c r="BQ66" s="75"/>
      <c r="BR66" s="14"/>
      <c r="BS66" s="75"/>
      <c r="BT66" s="14"/>
      <c r="BU66" s="75"/>
      <c r="BV66" s="14"/>
      <c r="BW66" s="75"/>
      <c r="BX66" s="14"/>
      <c r="BY66" s="75"/>
      <c r="BZ66" s="14"/>
      <c r="CA66" s="75"/>
      <c r="CB66" s="14"/>
      <c r="CC66" s="75"/>
      <c r="CD66" s="14"/>
      <c r="CE66" s="75"/>
      <c r="CF66" s="14"/>
      <c r="CG66" s="75"/>
      <c r="CH66" s="14"/>
      <c r="CI66" s="75"/>
      <c r="CJ66" s="14"/>
      <c r="CK66" s="75"/>
      <c r="CL66" s="14"/>
      <c r="CM66" s="75"/>
      <c r="CN66" s="14"/>
      <c r="CO66" s="75"/>
      <c r="CP66" s="14"/>
      <c r="CQ66" s="75"/>
      <c r="CR66" s="14"/>
      <c r="CS66" s="75"/>
      <c r="CT66" s="14"/>
      <c r="CU66" s="75"/>
      <c r="CV66" s="14"/>
      <c r="CW66" s="75"/>
      <c r="CX66" s="14"/>
      <c r="CY66" s="75"/>
      <c r="CZ66" s="14"/>
      <c r="DA66" s="75"/>
      <c r="DB66" s="14"/>
      <c r="DC66" s="75"/>
      <c r="DD66" s="14"/>
      <c r="DE66" s="75"/>
      <c r="DF66" s="14"/>
      <c r="DG66" s="75"/>
      <c r="DH66" s="14"/>
      <c r="DI66" s="75"/>
      <c r="DJ66" s="14"/>
      <c r="DK66" s="75"/>
      <c r="DL66" s="14"/>
      <c r="DM66" s="75"/>
      <c r="DN66" s="14"/>
      <c r="DO66" s="75"/>
      <c r="DP66" s="14"/>
      <c r="DQ66" s="75"/>
      <c r="DR66" s="14"/>
      <c r="DS66" s="75"/>
      <c r="DT66" s="14"/>
      <c r="DU66" s="75"/>
      <c r="DV66" s="14"/>
      <c r="DW66" s="75"/>
      <c r="DX66" s="14"/>
      <c r="DY66" s="75"/>
      <c r="DZ66" s="14"/>
      <c r="EA66" s="75"/>
      <c r="EB66" s="14"/>
      <c r="EC66" s="75"/>
      <c r="ED66" s="14"/>
      <c r="EE66" s="75"/>
      <c r="EF66" s="14"/>
      <c r="EG66" s="75"/>
      <c r="EH66" s="14"/>
      <c r="EI66" s="75"/>
      <c r="EJ66" s="14"/>
      <c r="EK66" s="75"/>
      <c r="EL66" s="14"/>
      <c r="EM66" s="75"/>
      <c r="EN66" s="14"/>
      <c r="EO66" s="75"/>
      <c r="EP66" s="14"/>
      <c r="EQ66" s="75"/>
      <c r="ER66" s="14"/>
      <c r="ES66" s="75"/>
      <c r="ET66" s="14"/>
      <c r="EU66" s="75"/>
      <c r="EV66" s="14"/>
      <c r="EW66" s="75"/>
      <c r="EX66" s="14"/>
      <c r="EY66" s="75"/>
      <c r="EZ66" s="14"/>
      <c r="FA66" s="75"/>
      <c r="FB66" s="14"/>
      <c r="FC66" s="75"/>
      <c r="FD66" s="14"/>
      <c r="FE66" s="75"/>
      <c r="FF66" s="14"/>
      <c r="FG66" s="75"/>
      <c r="FH66" s="14"/>
      <c r="FI66" s="75"/>
      <c r="FJ66" s="14"/>
      <c r="FK66" s="75"/>
      <c r="FL66" s="14"/>
      <c r="FM66" s="75"/>
      <c r="FN66" s="14"/>
      <c r="FO66" s="75"/>
      <c r="FP66" s="14"/>
      <c r="FQ66" s="75"/>
      <c r="FR66" s="14"/>
      <c r="FS66" s="75"/>
      <c r="FT66" s="14"/>
      <c r="FU66" s="75"/>
      <c r="FV66" s="14"/>
      <c r="FW66" s="75"/>
      <c r="FX66" s="14"/>
      <c r="FY66" s="75"/>
      <c r="FZ66" s="14"/>
      <c r="GA66" s="75"/>
      <c r="GB66" s="14"/>
      <c r="GC66" s="75"/>
      <c r="GD66" s="14"/>
      <c r="GE66" s="75"/>
      <c r="GF66" s="14"/>
      <c r="GG66" s="75"/>
      <c r="GH66" s="14"/>
      <c r="GI66" s="75"/>
      <c r="GJ66" s="14"/>
      <c r="GK66" s="75"/>
      <c r="GL66" s="14"/>
      <c r="GM66" s="75"/>
      <c r="GN66" s="14"/>
      <c r="GO66" s="75"/>
      <c r="GP66" s="14"/>
      <c r="GQ66" s="75"/>
      <c r="GR66" s="14"/>
      <c r="GS66" s="75"/>
      <c r="GT66" s="14"/>
      <c r="GU66" s="75"/>
      <c r="GV66" s="14"/>
      <c r="GW66" s="75"/>
      <c r="GX66" s="14"/>
      <c r="GY66" s="75"/>
      <c r="GZ66" s="14"/>
      <c r="HA66" s="75"/>
      <c r="HB66" s="14"/>
      <c r="HC66" s="75"/>
      <c r="HD66" s="14"/>
      <c r="HE66" s="75"/>
      <c r="HF66" s="14"/>
      <c r="HG66" s="75"/>
      <c r="HH66" s="14"/>
      <c r="HI66" s="75"/>
      <c r="HJ66" s="14"/>
      <c r="HK66" s="75"/>
      <c r="HL66" s="14"/>
      <c r="HM66" s="75"/>
      <c r="HN66" s="14"/>
      <c r="HO66" s="75"/>
      <c r="HP66" s="14"/>
      <c r="HQ66" s="75"/>
      <c r="HR66" s="14"/>
      <c r="HS66" s="75"/>
      <c r="HT66" s="14"/>
      <c r="HU66" s="75"/>
      <c r="HV66" s="14"/>
      <c r="HW66" s="75"/>
      <c r="HX66" s="14"/>
      <c r="HY66" s="75"/>
      <c r="HZ66" s="14"/>
      <c r="IA66" s="75"/>
      <c r="IB66" s="14"/>
      <c r="IC66" s="75"/>
      <c r="ID66" s="14"/>
      <c r="IE66" s="75"/>
      <c r="IF66" s="14"/>
      <c r="IG66" s="75"/>
      <c r="IH66" s="14"/>
      <c r="II66" s="75"/>
      <c r="IJ66" s="14"/>
      <c r="IK66" s="75"/>
      <c r="IL66" s="14"/>
      <c r="IM66" s="75"/>
      <c r="IN66" s="14"/>
      <c r="IO66" s="75"/>
      <c r="IP66" s="14"/>
      <c r="IQ66" s="75"/>
      <c r="IR66" s="14"/>
      <c r="IS66" s="75"/>
      <c r="IT66" s="14"/>
      <c r="IU66" s="75"/>
      <c r="IV66" s="14"/>
    </row>
    <row r="67" spans="1:13" ht="12">
      <c r="A67" s="41">
        <v>18</v>
      </c>
      <c r="C67" s="4" t="s">
        <v>258</v>
      </c>
      <c r="D67" s="14"/>
      <c r="E67" s="41">
        <v>18</v>
      </c>
      <c r="G67" s="43">
        <v>0</v>
      </c>
      <c r="H67" s="43">
        <v>0</v>
      </c>
      <c r="I67" s="43">
        <v>0</v>
      </c>
      <c r="J67" s="43">
        <v>0</v>
      </c>
      <c r="K67" s="43"/>
      <c r="L67" s="43">
        <v>0</v>
      </c>
      <c r="M67" s="43">
        <v>0</v>
      </c>
    </row>
    <row r="68" spans="1:13" ht="12">
      <c r="A68" s="41">
        <v>19</v>
      </c>
      <c r="C68" s="4" t="s">
        <v>195</v>
      </c>
      <c r="D68" s="14"/>
      <c r="E68" s="41">
        <v>19</v>
      </c>
      <c r="G68" s="43">
        <v>0</v>
      </c>
      <c r="H68" s="43">
        <v>0</v>
      </c>
      <c r="I68" s="43">
        <v>0</v>
      </c>
      <c r="J68" s="43">
        <v>0</v>
      </c>
      <c r="K68" s="43"/>
      <c r="L68" s="43">
        <v>0</v>
      </c>
      <c r="M68" s="43">
        <v>0</v>
      </c>
    </row>
    <row r="69" spans="1:13" ht="12">
      <c r="A69" s="41">
        <v>20</v>
      </c>
      <c r="C69" s="4" t="s">
        <v>173</v>
      </c>
      <c r="D69" s="14"/>
      <c r="E69" s="41">
        <v>20</v>
      </c>
      <c r="G69" s="43">
        <v>0</v>
      </c>
      <c r="H69" s="43">
        <f>H66+H67+H68</f>
        <v>0</v>
      </c>
      <c r="I69" s="43">
        <v>0</v>
      </c>
      <c r="J69" s="43">
        <f>J66+J67+J68</f>
        <v>0</v>
      </c>
      <c r="K69" s="43"/>
      <c r="L69" s="43">
        <v>0</v>
      </c>
      <c r="M69" s="43">
        <f>M66+M67+M68</f>
        <v>0</v>
      </c>
    </row>
    <row r="70" spans="1:13" ht="12">
      <c r="A70" s="41">
        <v>21</v>
      </c>
      <c r="C70" s="4" t="s">
        <v>248</v>
      </c>
      <c r="D70" s="14"/>
      <c r="E70" s="41">
        <v>21</v>
      </c>
      <c r="G70" s="43">
        <v>0</v>
      </c>
      <c r="H70" s="43">
        <v>0</v>
      </c>
      <c r="I70" s="43">
        <v>0</v>
      </c>
      <c r="J70" s="43">
        <v>0</v>
      </c>
      <c r="K70" s="43"/>
      <c r="L70" s="43">
        <v>0</v>
      </c>
      <c r="M70" s="43">
        <v>0</v>
      </c>
    </row>
    <row r="71" spans="1:13" ht="12">
      <c r="A71" s="41">
        <v>22</v>
      </c>
      <c r="C71" s="7"/>
      <c r="E71" s="41">
        <v>22</v>
      </c>
      <c r="F71" s="15" t="s">
        <v>1</v>
      </c>
      <c r="G71" s="15"/>
      <c r="H71" s="15"/>
      <c r="I71" s="16"/>
      <c r="J71" s="19"/>
      <c r="K71" s="18"/>
      <c r="L71" s="16"/>
      <c r="M71" s="19"/>
    </row>
    <row r="72" spans="1:13" ht="12">
      <c r="A72" s="41">
        <v>23</v>
      </c>
      <c r="C72" s="5" t="s">
        <v>199</v>
      </c>
      <c r="D72" s="76"/>
      <c r="E72" s="41">
        <v>23</v>
      </c>
      <c r="F72" s="77"/>
      <c r="G72" s="78"/>
      <c r="H72" s="78">
        <f>SUM(H62,H63,H69)</f>
        <v>0</v>
      </c>
      <c r="I72" s="78"/>
      <c r="J72" s="78">
        <f>SUM(J62,J63,J69)</f>
        <v>0</v>
      </c>
      <c r="K72" s="78"/>
      <c r="L72" s="78"/>
      <c r="M72" s="78">
        <f>SUM(M62,M63,M69)</f>
        <v>0</v>
      </c>
    </row>
    <row r="73" spans="1:5" ht="12">
      <c r="A73" s="41">
        <v>24</v>
      </c>
      <c r="C73" s="7"/>
      <c r="D73" s="4"/>
      <c r="E73" s="41">
        <v>24</v>
      </c>
    </row>
    <row r="74" spans="1:13" ht="12">
      <c r="A74" s="41">
        <v>25</v>
      </c>
      <c r="C74" s="4" t="s">
        <v>219</v>
      </c>
      <c r="D74" s="14"/>
      <c r="E74" s="41">
        <v>25</v>
      </c>
      <c r="G74" s="43"/>
      <c r="H74" s="43">
        <v>0</v>
      </c>
      <c r="I74" s="43"/>
      <c r="J74" s="43">
        <v>0</v>
      </c>
      <c r="K74" s="43"/>
      <c r="L74" s="43"/>
      <c r="M74" s="43">
        <v>0</v>
      </c>
    </row>
    <row r="75" spans="1:13" ht="12">
      <c r="A75" s="5">
        <v>26</v>
      </c>
      <c r="E75" s="5">
        <v>26</v>
      </c>
      <c r="F75" s="15" t="s">
        <v>1</v>
      </c>
      <c r="G75" s="15"/>
      <c r="H75" s="15"/>
      <c r="I75" s="16"/>
      <c r="J75" s="19"/>
      <c r="K75" s="18"/>
      <c r="L75" s="16"/>
      <c r="M75" s="19"/>
    </row>
    <row r="76" spans="1:13" ht="12">
      <c r="A76" s="41">
        <v>27</v>
      </c>
      <c r="C76" s="4" t="s">
        <v>266</v>
      </c>
      <c r="E76" s="41">
        <v>27</v>
      </c>
      <c r="F76" s="71"/>
      <c r="G76" s="63"/>
      <c r="H76" s="63">
        <f>SUM(H72,H74)</f>
        <v>0</v>
      </c>
      <c r="I76" s="63"/>
      <c r="J76" s="63">
        <f>SUM(J72,J74)</f>
        <v>0</v>
      </c>
      <c r="K76" s="63"/>
      <c r="L76" s="63"/>
      <c r="M76" s="63">
        <f>SUM(M72,M74)</f>
        <v>0</v>
      </c>
    </row>
    <row r="77" spans="6:13" ht="12">
      <c r="F77" s="15"/>
      <c r="G77" s="15"/>
      <c r="H77" s="15"/>
      <c r="I77" s="16"/>
      <c r="J77" s="19"/>
      <c r="K77" s="18"/>
      <c r="L77" s="16"/>
      <c r="M77" s="19"/>
    </row>
    <row r="78" spans="6:13" ht="12">
      <c r="F78" s="15"/>
      <c r="G78" s="15"/>
      <c r="H78" s="15"/>
      <c r="I78" s="16"/>
      <c r="J78" s="19"/>
      <c r="K78" s="18"/>
      <c r="L78" s="16"/>
      <c r="M78" s="19"/>
    </row>
    <row r="79" spans="3:13" ht="12">
      <c r="C79" s="5" t="s">
        <v>102</v>
      </c>
      <c r="D79" s="14"/>
      <c r="F79" s="15"/>
      <c r="G79" s="15"/>
      <c r="H79" s="15"/>
      <c r="I79" s="16"/>
      <c r="K79" s="18"/>
      <c r="L79" s="16"/>
      <c r="M79" s="19"/>
    </row>
    <row r="80" spans="4:13" ht="12">
      <c r="D80" s="14"/>
      <c r="F80" s="15"/>
      <c r="G80" s="15"/>
      <c r="H80" s="15"/>
      <c r="I80" s="16"/>
      <c r="K80" s="18"/>
      <c r="L80" s="16"/>
      <c r="M80" s="19"/>
    </row>
    <row r="81" spans="1:13" ht="12">
      <c r="A81" s="41"/>
      <c r="C81" s="4"/>
      <c r="E81" s="41"/>
      <c r="F81" s="27"/>
      <c r="G81" s="27"/>
      <c r="H81" s="27"/>
      <c r="I81" s="39"/>
      <c r="J81" s="40"/>
      <c r="K81" s="27"/>
      <c r="L81" s="39"/>
      <c r="M81" s="40"/>
    </row>
    <row r="82" spans="1:13" ht="12">
      <c r="A82" s="70" t="s">
        <v>343</v>
      </c>
      <c r="I82" s="6"/>
      <c r="M82" s="69" t="s">
        <v>18</v>
      </c>
    </row>
    <row r="83" spans="1:13" s="21" customFormat="1" ht="12">
      <c r="A83" s="422" t="s">
        <v>19</v>
      </c>
      <c r="B83" s="422"/>
      <c r="C83" s="422"/>
      <c r="D83" s="422"/>
      <c r="E83" s="422"/>
      <c r="F83" s="422"/>
      <c r="G83" s="422"/>
      <c r="H83" s="422"/>
      <c r="I83" s="422"/>
      <c r="J83" s="422"/>
      <c r="K83" s="422"/>
      <c r="L83" s="422"/>
      <c r="M83" s="422"/>
    </row>
    <row r="84" spans="1:13" ht="12">
      <c r="A84" s="70" t="str">
        <f>$A$42</f>
        <v>NAME: UNIVERSITY OF COLORADO AT COLORADO SPRINGS</v>
      </c>
      <c r="I84" s="6"/>
      <c r="K84" s="71"/>
      <c r="L84" s="6"/>
      <c r="M84" s="72" t="str">
        <f>$M$3</f>
        <v>Date: 10/1/2007</v>
      </c>
    </row>
    <row r="85" spans="1:13" ht="12">
      <c r="A85" s="15" t="s">
        <v>1</v>
      </c>
      <c r="B85" s="15" t="s">
        <v>1</v>
      </c>
      <c r="C85" s="15" t="s">
        <v>1</v>
      </c>
      <c r="D85" s="15" t="s">
        <v>1</v>
      </c>
      <c r="E85" s="15" t="s">
        <v>1</v>
      </c>
      <c r="F85" s="15" t="s">
        <v>1</v>
      </c>
      <c r="G85" s="15"/>
      <c r="H85" s="15"/>
      <c r="I85" s="16" t="s">
        <v>1</v>
      </c>
      <c r="J85" s="19" t="s">
        <v>1</v>
      </c>
      <c r="K85" s="15" t="s">
        <v>1</v>
      </c>
      <c r="L85" s="16" t="s">
        <v>1</v>
      </c>
      <c r="M85" s="19" t="s">
        <v>1</v>
      </c>
    </row>
    <row r="86" spans="1:13" ht="12">
      <c r="A86" s="73" t="s">
        <v>2</v>
      </c>
      <c r="C86" s="4" t="s">
        <v>3</v>
      </c>
      <c r="E86" s="73" t="s">
        <v>2</v>
      </c>
      <c r="F86" s="1"/>
      <c r="G86" s="1"/>
      <c r="H86" s="1" t="s">
        <v>172</v>
      </c>
      <c r="I86" s="2"/>
      <c r="J86" s="3" t="s">
        <v>280</v>
      </c>
      <c r="K86" s="1"/>
      <c r="L86" s="2"/>
      <c r="M86" s="3" t="s">
        <v>289</v>
      </c>
    </row>
    <row r="87" spans="1:13" ht="12">
      <c r="A87" s="73" t="s">
        <v>4</v>
      </c>
      <c r="C87" s="74" t="s">
        <v>5</v>
      </c>
      <c r="E87" s="73" t="s">
        <v>4</v>
      </c>
      <c r="F87" s="1"/>
      <c r="G87" s="1" t="s">
        <v>21</v>
      </c>
      <c r="H87" s="1" t="s">
        <v>7</v>
      </c>
      <c r="I87" s="2" t="s">
        <v>6</v>
      </c>
      <c r="J87" s="3" t="s">
        <v>7</v>
      </c>
      <c r="K87" s="1"/>
      <c r="L87" s="2" t="s">
        <v>6</v>
      </c>
      <c r="M87" s="3" t="s">
        <v>8</v>
      </c>
    </row>
    <row r="88" spans="1:13" ht="12">
      <c r="A88" s="15" t="s">
        <v>1</v>
      </c>
      <c r="B88" s="15" t="s">
        <v>1</v>
      </c>
      <c r="C88" s="15" t="s">
        <v>1</v>
      </c>
      <c r="D88" s="15" t="s">
        <v>1</v>
      </c>
      <c r="E88" s="15" t="s">
        <v>1</v>
      </c>
      <c r="F88" s="15" t="s">
        <v>1</v>
      </c>
      <c r="G88" s="15"/>
      <c r="H88" s="15"/>
      <c r="I88" s="16" t="s">
        <v>1</v>
      </c>
      <c r="J88" s="16" t="s">
        <v>1</v>
      </c>
      <c r="K88" s="15" t="s">
        <v>1</v>
      </c>
      <c r="L88" s="16" t="s">
        <v>1</v>
      </c>
      <c r="M88" s="19" t="s">
        <v>1</v>
      </c>
    </row>
    <row r="89" spans="1:13" ht="12">
      <c r="A89" s="41">
        <v>1</v>
      </c>
      <c r="C89" s="4" t="s">
        <v>9</v>
      </c>
      <c r="D89" s="14" t="s">
        <v>117</v>
      </c>
      <c r="E89" s="41">
        <v>1</v>
      </c>
      <c r="G89" s="79">
        <f>+G636</f>
        <v>414.7</v>
      </c>
      <c r="H89" s="80">
        <f>+H636</f>
        <v>27884975</v>
      </c>
      <c r="I89" s="79">
        <f>+I636</f>
        <v>422.63</v>
      </c>
      <c r="J89" s="80">
        <f>+J636</f>
        <v>30135856.98</v>
      </c>
      <c r="K89" s="43"/>
      <c r="L89" s="79">
        <f>+L636</f>
        <v>437.63</v>
      </c>
      <c r="M89" s="80">
        <f>+M636</f>
        <v>33407830</v>
      </c>
    </row>
    <row r="90" spans="1:13" ht="12">
      <c r="A90" s="41">
        <v>2</v>
      </c>
      <c r="C90" s="4" t="s">
        <v>10</v>
      </c>
      <c r="D90" s="14" t="s">
        <v>118</v>
      </c>
      <c r="E90" s="41">
        <v>2</v>
      </c>
      <c r="G90" s="79">
        <f>+G673</f>
        <v>0</v>
      </c>
      <c r="H90" s="80">
        <f>+H673</f>
        <v>310180</v>
      </c>
      <c r="I90" s="79">
        <f>+I673</f>
        <v>1.4100000000000001</v>
      </c>
      <c r="J90" s="80">
        <f>+J673</f>
        <v>246723.18</v>
      </c>
      <c r="K90" s="43"/>
      <c r="L90" s="79">
        <f>+L673</f>
        <v>1.4100000000000001</v>
      </c>
      <c r="M90" s="80">
        <f>+M673</f>
        <v>108547</v>
      </c>
    </row>
    <row r="91" spans="1:13" ht="12">
      <c r="A91" s="41">
        <v>3</v>
      </c>
      <c r="C91" s="4" t="s">
        <v>11</v>
      </c>
      <c r="D91" s="14" t="s">
        <v>119</v>
      </c>
      <c r="E91" s="41">
        <v>3</v>
      </c>
      <c r="G91" s="79">
        <f>+G710</f>
        <v>0</v>
      </c>
      <c r="H91" s="80">
        <f>+H710</f>
        <v>69864</v>
      </c>
      <c r="I91" s="79">
        <f>+I710</f>
        <v>0</v>
      </c>
      <c r="J91" s="80">
        <f>+J710</f>
        <v>55653.51</v>
      </c>
      <c r="K91" s="43"/>
      <c r="L91" s="79">
        <f>+L710</f>
        <v>0</v>
      </c>
      <c r="M91" s="80">
        <f>+M710</f>
        <v>800</v>
      </c>
    </row>
    <row r="92" spans="1:13" ht="12">
      <c r="A92" s="41">
        <v>4</v>
      </c>
      <c r="C92" s="4" t="s">
        <v>12</v>
      </c>
      <c r="D92" s="14" t="s">
        <v>120</v>
      </c>
      <c r="E92" s="41">
        <v>4</v>
      </c>
      <c r="G92" s="79">
        <f>+G747</f>
        <v>65.3</v>
      </c>
      <c r="H92" s="80">
        <f>+H747</f>
        <v>5872755</v>
      </c>
      <c r="I92" s="79">
        <f>+I747</f>
        <v>64.2</v>
      </c>
      <c r="J92" s="80">
        <f>+J747</f>
        <v>6801941.729999999</v>
      </c>
      <c r="K92" s="43"/>
      <c r="L92" s="79">
        <f>+L747</f>
        <v>65.4</v>
      </c>
      <c r="M92" s="80">
        <f>+M747</f>
        <v>8419726</v>
      </c>
    </row>
    <row r="93" spans="1:13" ht="12">
      <c r="A93" s="41">
        <v>5</v>
      </c>
      <c r="C93" s="4" t="s">
        <v>13</v>
      </c>
      <c r="D93" s="14" t="s">
        <v>121</v>
      </c>
      <c r="E93" s="41">
        <v>5</v>
      </c>
      <c r="G93" s="79">
        <f>+G784</f>
        <v>58.2</v>
      </c>
      <c r="H93" s="80">
        <f>+H784</f>
        <v>3904589</v>
      </c>
      <c r="I93" s="79">
        <f>+I784</f>
        <v>62.49</v>
      </c>
      <c r="J93" s="80">
        <f>+J784</f>
        <v>4422015.16</v>
      </c>
      <c r="K93" s="43"/>
      <c r="L93" s="79">
        <f>+L784</f>
        <v>68.49000000000001</v>
      </c>
      <c r="M93" s="80">
        <f>+M784</f>
        <v>4974191</v>
      </c>
    </row>
    <row r="94" spans="1:13" ht="12">
      <c r="A94" s="41">
        <v>6</v>
      </c>
      <c r="C94" s="4" t="s">
        <v>14</v>
      </c>
      <c r="D94" s="14" t="s">
        <v>122</v>
      </c>
      <c r="E94" s="41">
        <v>6</v>
      </c>
      <c r="G94" s="79">
        <f>+G820</f>
        <v>82.69999999999999</v>
      </c>
      <c r="H94" s="80">
        <f>+H820</f>
        <v>6241911</v>
      </c>
      <c r="I94" s="79">
        <f>+I820</f>
        <v>70.85</v>
      </c>
      <c r="J94" s="80">
        <f>+J820</f>
        <v>7650937.02</v>
      </c>
      <c r="K94" s="43"/>
      <c r="L94" s="79">
        <f>+L820</f>
        <v>77.45</v>
      </c>
      <c r="M94" s="80">
        <f>+M820</f>
        <v>8936517</v>
      </c>
    </row>
    <row r="95" spans="1:13" ht="12">
      <c r="A95" s="41">
        <v>7</v>
      </c>
      <c r="C95" s="4" t="s">
        <v>59</v>
      </c>
      <c r="D95" s="14" t="s">
        <v>123</v>
      </c>
      <c r="E95" s="41">
        <v>7</v>
      </c>
      <c r="G95" s="79">
        <f>+G851</f>
        <v>52.300000000000004</v>
      </c>
      <c r="H95" s="80">
        <f>+H851</f>
        <v>4787387</v>
      </c>
      <c r="I95" s="79">
        <f>+I851</f>
        <v>57.15</v>
      </c>
      <c r="J95" s="80">
        <f>+J851</f>
        <v>4740229.24</v>
      </c>
      <c r="K95" s="43"/>
      <c r="L95" s="79">
        <f>+L851</f>
        <v>57.15</v>
      </c>
      <c r="M95" s="80">
        <f>+M851</f>
        <v>5641495</v>
      </c>
    </row>
    <row r="96" spans="1:13" ht="12">
      <c r="A96" s="41">
        <v>8</v>
      </c>
      <c r="C96" s="4" t="s">
        <v>15</v>
      </c>
      <c r="D96" s="14" t="s">
        <v>124</v>
      </c>
      <c r="E96" s="41">
        <v>8</v>
      </c>
      <c r="G96" s="79">
        <v>0</v>
      </c>
      <c r="H96" s="80">
        <f>+H907</f>
        <v>2943211</v>
      </c>
      <c r="I96" s="79">
        <v>0</v>
      </c>
      <c r="J96" s="80">
        <f>+J907</f>
        <v>3151024</v>
      </c>
      <c r="K96" s="43"/>
      <c r="L96" s="79">
        <v>0</v>
      </c>
      <c r="M96" s="80">
        <f>+M907</f>
        <v>3174854</v>
      </c>
    </row>
    <row r="97" spans="1:13" ht="12">
      <c r="A97" s="41">
        <v>9</v>
      </c>
      <c r="C97" s="4" t="s">
        <v>101</v>
      </c>
      <c r="D97" s="14" t="s">
        <v>125</v>
      </c>
      <c r="E97" s="41">
        <v>9</v>
      </c>
      <c r="G97" s="79">
        <v>0</v>
      </c>
      <c r="H97" s="80">
        <v>0</v>
      </c>
      <c r="I97" s="79">
        <v>0</v>
      </c>
      <c r="J97" s="80">
        <v>0</v>
      </c>
      <c r="K97" s="43"/>
      <c r="L97" s="79">
        <v>0</v>
      </c>
      <c r="M97" s="80">
        <v>0</v>
      </c>
    </row>
    <row r="98" spans="1:13" ht="12">
      <c r="A98" s="41">
        <v>10</v>
      </c>
      <c r="C98" s="4" t="s">
        <v>16</v>
      </c>
      <c r="D98" s="14" t="s">
        <v>100</v>
      </c>
      <c r="E98" s="41">
        <v>10</v>
      </c>
      <c r="G98" s="79">
        <v>0</v>
      </c>
      <c r="H98" s="80">
        <f>+H981</f>
        <v>8489901</v>
      </c>
      <c r="I98" s="79">
        <v>0</v>
      </c>
      <c r="J98" s="80">
        <f>+J981</f>
        <v>2931482.58</v>
      </c>
      <c r="K98" s="43"/>
      <c r="L98" s="79">
        <v>0</v>
      </c>
      <c r="M98" s="80">
        <f>+M981</f>
        <v>1816646.5</v>
      </c>
    </row>
    <row r="99" spans="1:13" ht="12">
      <c r="A99" s="41"/>
      <c r="C99" s="4"/>
      <c r="D99" s="14"/>
      <c r="E99" s="41"/>
      <c r="F99" s="15" t="s">
        <v>1</v>
      </c>
      <c r="G99" s="15"/>
      <c r="H99" s="81"/>
      <c r="I99" s="16" t="s">
        <v>1</v>
      </c>
      <c r="J99" s="81"/>
      <c r="K99" s="18"/>
      <c r="L99" s="16"/>
      <c r="M99" s="81"/>
    </row>
    <row r="100" spans="1:13" ht="15" customHeight="1">
      <c r="A100" s="5">
        <v>11</v>
      </c>
      <c r="C100" s="4" t="s">
        <v>265</v>
      </c>
      <c r="E100" s="5">
        <v>11</v>
      </c>
      <c r="G100" s="79">
        <f>SUM(G89:G98)</f>
        <v>673.2</v>
      </c>
      <c r="H100" s="80">
        <f>SUM(H89:H98)</f>
        <v>60504773</v>
      </c>
      <c r="I100" s="79">
        <f>SUM(I89:I98)</f>
        <v>678.73</v>
      </c>
      <c r="J100" s="80">
        <f>SUM(J89:J98)</f>
        <v>60135863.4</v>
      </c>
      <c r="K100" s="43"/>
      <c r="L100" s="79">
        <f>SUM(L89:L98)</f>
        <v>707.5300000000001</v>
      </c>
      <c r="M100" s="80">
        <f>SUM(M89:M98)</f>
        <v>66480606.5</v>
      </c>
    </row>
    <row r="101" spans="1:13" ht="12">
      <c r="A101" s="41"/>
      <c r="E101" s="41"/>
      <c r="F101" s="15" t="s">
        <v>1</v>
      </c>
      <c r="G101" s="15"/>
      <c r="H101" s="15"/>
      <c r="I101" s="16" t="s">
        <v>1</v>
      </c>
      <c r="J101" s="19"/>
      <c r="K101" s="18"/>
      <c r="L101" s="16"/>
      <c r="M101" s="19"/>
    </row>
    <row r="102" spans="1:13" ht="9" customHeight="1">
      <c r="A102" s="41"/>
      <c r="E102" s="41"/>
      <c r="F102" s="15"/>
      <c r="G102" s="15"/>
      <c r="H102" s="15"/>
      <c r="I102" s="6"/>
      <c r="J102" s="19"/>
      <c r="K102" s="18"/>
      <c r="L102" s="6"/>
      <c r="M102" s="19"/>
    </row>
    <row r="103" spans="1:13" ht="12">
      <c r="A103" s="5">
        <v>12</v>
      </c>
      <c r="C103" s="4" t="s">
        <v>17</v>
      </c>
      <c r="E103" s="5">
        <v>12</v>
      </c>
      <c r="G103" s="43"/>
      <c r="H103" s="43"/>
      <c r="I103" s="63"/>
      <c r="J103" s="63"/>
      <c r="K103" s="43"/>
      <c r="L103" s="79"/>
      <c r="M103" s="63"/>
    </row>
    <row r="104" spans="1:13" ht="12">
      <c r="A104" s="41">
        <v>13</v>
      </c>
      <c r="C104" s="4" t="s">
        <v>226</v>
      </c>
      <c r="D104" s="14" t="s">
        <v>261</v>
      </c>
      <c r="E104" s="41">
        <v>13</v>
      </c>
      <c r="G104" s="79"/>
      <c r="H104" s="80">
        <f>H106</f>
        <v>12060846</v>
      </c>
      <c r="I104" s="79"/>
      <c r="J104" s="80">
        <f>J106</f>
        <v>12803882</v>
      </c>
      <c r="K104" s="43"/>
      <c r="L104" s="79"/>
      <c r="M104" s="80">
        <f>M106</f>
        <v>13692713</v>
      </c>
    </row>
    <row r="105" spans="1:13" ht="12">
      <c r="A105" s="41">
        <v>14</v>
      </c>
      <c r="C105" s="4" t="s">
        <v>227</v>
      </c>
      <c r="D105" s="14" t="s">
        <v>262</v>
      </c>
      <c r="E105" s="41">
        <v>14</v>
      </c>
      <c r="G105" s="79">
        <v>0</v>
      </c>
      <c r="H105" s="80">
        <f>+H571+H144</f>
        <v>5100711</v>
      </c>
      <c r="I105" s="79">
        <v>0</v>
      </c>
      <c r="J105" s="80">
        <f>J571</f>
        <v>5500380</v>
      </c>
      <c r="K105" s="43"/>
      <c r="L105" s="79">
        <v>0</v>
      </c>
      <c r="M105" s="80">
        <f>+M571+M144</f>
        <v>8037123</v>
      </c>
    </row>
    <row r="106" spans="1:13" ht="12.75">
      <c r="A106" s="41">
        <v>15</v>
      </c>
      <c r="C106" s="4" t="s">
        <v>256</v>
      </c>
      <c r="D106" s="14" t="s">
        <v>261</v>
      </c>
      <c r="E106" s="41">
        <v>15</v>
      </c>
      <c r="G106" s="79"/>
      <c r="H106" s="80">
        <v>12060846</v>
      </c>
      <c r="I106" s="79">
        <v>0</v>
      </c>
      <c r="J106" s="370">
        <v>12803882</v>
      </c>
      <c r="K106" s="43"/>
      <c r="L106" s="79">
        <v>0</v>
      </c>
      <c r="M106" s="80">
        <v>13692713</v>
      </c>
    </row>
    <row r="107" spans="1:13" ht="12">
      <c r="A107" s="41">
        <v>16</v>
      </c>
      <c r="C107" s="4" t="s">
        <v>255</v>
      </c>
      <c r="D107" s="14"/>
      <c r="E107" s="41">
        <v>16</v>
      </c>
      <c r="G107" s="79">
        <f>+G403-G106</f>
        <v>5133.799999999999</v>
      </c>
      <c r="H107" s="80">
        <f>+H403-H104</f>
        <v>24937442</v>
      </c>
      <c r="I107" s="79">
        <f>+I403-I104</f>
        <v>5152.5599999999995</v>
      </c>
      <c r="J107" s="80">
        <f>+J403-J106</f>
        <v>25173855</v>
      </c>
      <c r="K107" s="43"/>
      <c r="L107" s="79">
        <f>+L403-L106</f>
        <v>5255.74</v>
      </c>
      <c r="M107" s="80">
        <f>+M403-M106</f>
        <v>27623676</v>
      </c>
    </row>
    <row r="108" spans="1:256" ht="12">
      <c r="A108" s="14">
        <v>17</v>
      </c>
      <c r="B108" s="14"/>
      <c r="C108" s="75" t="s">
        <v>257</v>
      </c>
      <c r="D108" s="14" t="s">
        <v>278</v>
      </c>
      <c r="E108" s="14">
        <v>17</v>
      </c>
      <c r="F108" s="14"/>
      <c r="G108" s="79">
        <f>SUM(G106:G107)</f>
        <v>5133.799999999999</v>
      </c>
      <c r="H108" s="80">
        <f>SUM(H106:H107)</f>
        <v>36998288</v>
      </c>
      <c r="I108" s="79">
        <f>SUM(I106:I107)</f>
        <v>5152.5599999999995</v>
      </c>
      <c r="J108" s="80">
        <f>SUM(J106:J107)</f>
        <v>37977737</v>
      </c>
      <c r="K108" s="75"/>
      <c r="L108" s="79">
        <f>SUM(L106:L107)</f>
        <v>5255.74</v>
      </c>
      <c r="M108" s="80">
        <f>SUM(M106:M107)</f>
        <v>41316389</v>
      </c>
      <c r="N108" s="14"/>
      <c r="O108" s="75"/>
      <c r="P108" s="14"/>
      <c r="Q108" s="75"/>
      <c r="R108" s="14"/>
      <c r="S108" s="75"/>
      <c r="T108" s="14"/>
      <c r="U108" s="75"/>
      <c r="V108" s="14"/>
      <c r="W108" s="75"/>
      <c r="X108" s="14"/>
      <c r="Y108" s="75"/>
      <c r="Z108" s="14"/>
      <c r="AA108" s="75"/>
      <c r="AB108" s="14"/>
      <c r="AC108" s="75"/>
      <c r="AD108" s="14"/>
      <c r="AE108" s="75"/>
      <c r="AF108" s="14"/>
      <c r="AG108" s="75"/>
      <c r="AH108" s="14"/>
      <c r="AI108" s="75"/>
      <c r="AJ108" s="14"/>
      <c r="AK108" s="75"/>
      <c r="AL108" s="14"/>
      <c r="AM108" s="75"/>
      <c r="AN108" s="14"/>
      <c r="AO108" s="75"/>
      <c r="AP108" s="14"/>
      <c r="AQ108" s="75"/>
      <c r="AR108" s="14"/>
      <c r="AS108" s="75"/>
      <c r="AT108" s="14"/>
      <c r="AU108" s="75"/>
      <c r="AV108" s="14"/>
      <c r="AW108" s="75"/>
      <c r="AX108" s="14"/>
      <c r="AY108" s="75"/>
      <c r="AZ108" s="14"/>
      <c r="BA108" s="75"/>
      <c r="BB108" s="14"/>
      <c r="BC108" s="75"/>
      <c r="BD108" s="14"/>
      <c r="BE108" s="75"/>
      <c r="BF108" s="14"/>
      <c r="BG108" s="75"/>
      <c r="BH108" s="14"/>
      <c r="BI108" s="75"/>
      <c r="BJ108" s="14"/>
      <c r="BK108" s="75"/>
      <c r="BL108" s="14"/>
      <c r="BM108" s="75"/>
      <c r="BN108" s="14"/>
      <c r="BO108" s="75"/>
      <c r="BP108" s="14"/>
      <c r="BQ108" s="75"/>
      <c r="BR108" s="14"/>
      <c r="BS108" s="75"/>
      <c r="BT108" s="14"/>
      <c r="BU108" s="75"/>
      <c r="BV108" s="14"/>
      <c r="BW108" s="75"/>
      <c r="BX108" s="14"/>
      <c r="BY108" s="75"/>
      <c r="BZ108" s="14"/>
      <c r="CA108" s="75"/>
      <c r="CB108" s="14"/>
      <c r="CC108" s="75"/>
      <c r="CD108" s="14"/>
      <c r="CE108" s="75"/>
      <c r="CF108" s="14"/>
      <c r="CG108" s="75"/>
      <c r="CH108" s="14"/>
      <c r="CI108" s="75"/>
      <c r="CJ108" s="14"/>
      <c r="CK108" s="75"/>
      <c r="CL108" s="14"/>
      <c r="CM108" s="75"/>
      <c r="CN108" s="14"/>
      <c r="CO108" s="75"/>
      <c r="CP108" s="14"/>
      <c r="CQ108" s="75"/>
      <c r="CR108" s="14"/>
      <c r="CS108" s="75"/>
      <c r="CT108" s="14"/>
      <c r="CU108" s="75"/>
      <c r="CV108" s="14"/>
      <c r="CW108" s="75"/>
      <c r="CX108" s="14"/>
      <c r="CY108" s="75"/>
      <c r="CZ108" s="14"/>
      <c r="DA108" s="75"/>
      <c r="DB108" s="14"/>
      <c r="DC108" s="75"/>
      <c r="DD108" s="14"/>
      <c r="DE108" s="75"/>
      <c r="DF108" s="14"/>
      <c r="DG108" s="75"/>
      <c r="DH108" s="14"/>
      <c r="DI108" s="75"/>
      <c r="DJ108" s="14"/>
      <c r="DK108" s="75"/>
      <c r="DL108" s="14"/>
      <c r="DM108" s="75"/>
      <c r="DN108" s="14"/>
      <c r="DO108" s="75"/>
      <c r="DP108" s="14"/>
      <c r="DQ108" s="75"/>
      <c r="DR108" s="14"/>
      <c r="DS108" s="75"/>
      <c r="DT108" s="14"/>
      <c r="DU108" s="75"/>
      <c r="DV108" s="14"/>
      <c r="DW108" s="75"/>
      <c r="DX108" s="14"/>
      <c r="DY108" s="75"/>
      <c r="DZ108" s="14"/>
      <c r="EA108" s="75"/>
      <c r="EB108" s="14"/>
      <c r="EC108" s="75"/>
      <c r="ED108" s="14"/>
      <c r="EE108" s="75"/>
      <c r="EF108" s="14"/>
      <c r="EG108" s="75"/>
      <c r="EH108" s="14"/>
      <c r="EI108" s="75"/>
      <c r="EJ108" s="14"/>
      <c r="EK108" s="75"/>
      <c r="EL108" s="14"/>
      <c r="EM108" s="75"/>
      <c r="EN108" s="14"/>
      <c r="EO108" s="75"/>
      <c r="EP108" s="14"/>
      <c r="EQ108" s="75"/>
      <c r="ER108" s="14"/>
      <c r="ES108" s="75"/>
      <c r="ET108" s="14"/>
      <c r="EU108" s="75"/>
      <c r="EV108" s="14"/>
      <c r="EW108" s="75"/>
      <c r="EX108" s="14"/>
      <c r="EY108" s="75"/>
      <c r="EZ108" s="14"/>
      <c r="FA108" s="75"/>
      <c r="FB108" s="14"/>
      <c r="FC108" s="75"/>
      <c r="FD108" s="14"/>
      <c r="FE108" s="75"/>
      <c r="FF108" s="14"/>
      <c r="FG108" s="75"/>
      <c r="FH108" s="14"/>
      <c r="FI108" s="75"/>
      <c r="FJ108" s="14"/>
      <c r="FK108" s="75"/>
      <c r="FL108" s="14"/>
      <c r="FM108" s="75"/>
      <c r="FN108" s="14"/>
      <c r="FO108" s="75"/>
      <c r="FP108" s="14"/>
      <c r="FQ108" s="75"/>
      <c r="FR108" s="14"/>
      <c r="FS108" s="75"/>
      <c r="FT108" s="14"/>
      <c r="FU108" s="75"/>
      <c r="FV108" s="14"/>
      <c r="FW108" s="75"/>
      <c r="FX108" s="14"/>
      <c r="FY108" s="75"/>
      <c r="FZ108" s="14"/>
      <c r="GA108" s="75"/>
      <c r="GB108" s="14"/>
      <c r="GC108" s="75"/>
      <c r="GD108" s="14"/>
      <c r="GE108" s="75"/>
      <c r="GF108" s="14"/>
      <c r="GG108" s="75"/>
      <c r="GH108" s="14"/>
      <c r="GI108" s="75"/>
      <c r="GJ108" s="14"/>
      <c r="GK108" s="75"/>
      <c r="GL108" s="14"/>
      <c r="GM108" s="75"/>
      <c r="GN108" s="14"/>
      <c r="GO108" s="75"/>
      <c r="GP108" s="14"/>
      <c r="GQ108" s="75"/>
      <c r="GR108" s="14"/>
      <c r="GS108" s="75"/>
      <c r="GT108" s="14"/>
      <c r="GU108" s="75"/>
      <c r="GV108" s="14"/>
      <c r="GW108" s="75"/>
      <c r="GX108" s="14"/>
      <c r="GY108" s="75"/>
      <c r="GZ108" s="14"/>
      <c r="HA108" s="75"/>
      <c r="HB108" s="14"/>
      <c r="HC108" s="75"/>
      <c r="HD108" s="14"/>
      <c r="HE108" s="75"/>
      <c r="HF108" s="14"/>
      <c r="HG108" s="75"/>
      <c r="HH108" s="14"/>
      <c r="HI108" s="75"/>
      <c r="HJ108" s="14"/>
      <c r="HK108" s="75"/>
      <c r="HL108" s="14"/>
      <c r="HM108" s="75"/>
      <c r="HN108" s="14"/>
      <c r="HO108" s="75"/>
      <c r="HP108" s="14"/>
      <c r="HQ108" s="75"/>
      <c r="HR108" s="14"/>
      <c r="HS108" s="75"/>
      <c r="HT108" s="14"/>
      <c r="HU108" s="75"/>
      <c r="HV108" s="14"/>
      <c r="HW108" s="75"/>
      <c r="HX108" s="14"/>
      <c r="HY108" s="75"/>
      <c r="HZ108" s="14"/>
      <c r="IA108" s="75"/>
      <c r="IB108" s="14"/>
      <c r="IC108" s="75"/>
      <c r="ID108" s="14"/>
      <c r="IE108" s="75"/>
      <c r="IF108" s="14"/>
      <c r="IG108" s="75"/>
      <c r="IH108" s="14"/>
      <c r="II108" s="75"/>
      <c r="IJ108" s="14"/>
      <c r="IK108" s="75"/>
      <c r="IL108" s="14"/>
      <c r="IM108" s="75"/>
      <c r="IN108" s="14"/>
      <c r="IO108" s="75"/>
      <c r="IP108" s="14"/>
      <c r="IQ108" s="75"/>
      <c r="IR108" s="14"/>
      <c r="IS108" s="75"/>
      <c r="IT108" s="14"/>
      <c r="IU108" s="75"/>
      <c r="IV108" s="14"/>
    </row>
    <row r="109" spans="1:13" ht="12">
      <c r="A109" s="41">
        <v>18</v>
      </c>
      <c r="C109" s="4" t="s">
        <v>258</v>
      </c>
      <c r="D109" s="14" t="s">
        <v>278</v>
      </c>
      <c r="E109" s="41">
        <v>18</v>
      </c>
      <c r="G109" s="79">
        <f>+G402</f>
        <v>688.2</v>
      </c>
      <c r="H109" s="80">
        <f>+H402</f>
        <v>5916581</v>
      </c>
      <c r="I109" s="79">
        <f>+I402</f>
        <v>662.36</v>
      </c>
      <c r="J109" s="80">
        <f>+J402</f>
        <v>6309449</v>
      </c>
      <c r="K109" s="43"/>
      <c r="L109" s="79">
        <f>+L402</f>
        <v>686.12</v>
      </c>
      <c r="M109" s="80">
        <f>+M402</f>
        <v>6693888</v>
      </c>
    </row>
    <row r="110" spans="1:13" ht="12">
      <c r="A110" s="41">
        <v>19</v>
      </c>
      <c r="C110" s="4" t="s">
        <v>195</v>
      </c>
      <c r="D110" s="14" t="s">
        <v>278</v>
      </c>
      <c r="E110" s="41">
        <v>19</v>
      </c>
      <c r="G110" s="79">
        <f>+G408</f>
        <v>380</v>
      </c>
      <c r="H110" s="80">
        <f>+H408</f>
        <v>5089173</v>
      </c>
      <c r="I110" s="79">
        <f>+I408</f>
        <v>324.64000000000004</v>
      </c>
      <c r="J110" s="80">
        <f>+J408</f>
        <v>7114180</v>
      </c>
      <c r="K110" s="43"/>
      <c r="L110" s="79">
        <f>+L408</f>
        <v>304.14</v>
      </c>
      <c r="M110" s="80">
        <f>+M408</f>
        <v>6571035</v>
      </c>
    </row>
    <row r="111" spans="1:13" ht="12">
      <c r="A111" s="41">
        <v>20</v>
      </c>
      <c r="C111" s="4" t="s">
        <v>173</v>
      </c>
      <c r="D111" s="14" t="s">
        <v>278</v>
      </c>
      <c r="E111" s="41">
        <v>20</v>
      </c>
      <c r="G111" s="79">
        <f>G108+G109+G110</f>
        <v>6201.999999999999</v>
      </c>
      <c r="H111" s="80">
        <f>H108+H109+H110</f>
        <v>48004042</v>
      </c>
      <c r="I111" s="79">
        <f>I108+I109+I110</f>
        <v>6139.5599999999995</v>
      </c>
      <c r="J111" s="80">
        <f>J108+J109+J110</f>
        <v>51401366</v>
      </c>
      <c r="K111" s="43"/>
      <c r="L111" s="79">
        <f>L108+L109+L110</f>
        <v>6246</v>
      </c>
      <c r="M111" s="80">
        <f>M108+M109+M110</f>
        <v>54581312</v>
      </c>
    </row>
    <row r="112" spans="1:13" ht="12">
      <c r="A112" s="41">
        <v>21</v>
      </c>
      <c r="C112" s="4" t="s">
        <v>248</v>
      </c>
      <c r="D112" s="14" t="s">
        <v>277</v>
      </c>
      <c r="E112" s="41">
        <v>21</v>
      </c>
      <c r="G112" s="79">
        <v>0</v>
      </c>
      <c r="H112" s="80">
        <f>+H453</f>
        <v>383270</v>
      </c>
      <c r="I112" s="79">
        <v>0</v>
      </c>
      <c r="J112" s="80">
        <f>+J453</f>
        <v>-274665</v>
      </c>
      <c r="K112" s="43"/>
      <c r="L112" s="79">
        <v>0</v>
      </c>
      <c r="M112" s="80">
        <f>+M453</f>
        <v>1969775</v>
      </c>
    </row>
    <row r="113" spans="1:13" ht="12">
      <c r="A113" s="41">
        <v>22</v>
      </c>
      <c r="C113" s="7"/>
      <c r="E113" s="41">
        <v>22</v>
      </c>
      <c r="F113" s="15" t="s">
        <v>1</v>
      </c>
      <c r="G113" s="15"/>
      <c r="H113" s="15"/>
      <c r="I113" s="16"/>
      <c r="J113" s="19"/>
      <c r="K113" s="18"/>
      <c r="L113" s="16"/>
      <c r="M113" s="19"/>
    </row>
    <row r="114" spans="1:13" ht="12">
      <c r="A114" s="41">
        <v>23</v>
      </c>
      <c r="C114" s="5" t="s">
        <v>199</v>
      </c>
      <c r="D114" s="76"/>
      <c r="E114" s="41">
        <v>23</v>
      </c>
      <c r="F114" s="77"/>
      <c r="G114" s="79"/>
      <c r="H114" s="80">
        <f>SUM(H105,H111,H112,H106)</f>
        <v>65548869</v>
      </c>
      <c r="I114" s="79"/>
      <c r="J114" s="80">
        <f>SUM(J105,J111,J112,J106)</f>
        <v>69430963</v>
      </c>
      <c r="K114" s="78"/>
      <c r="L114" s="79"/>
      <c r="M114" s="80">
        <f>SUM(M105,M111,M112,M106)</f>
        <v>78280923</v>
      </c>
    </row>
    <row r="115" spans="1:8" ht="12">
      <c r="A115" s="41">
        <v>24</v>
      </c>
      <c r="C115" s="7"/>
      <c r="D115" s="4"/>
      <c r="E115" s="41">
        <v>24</v>
      </c>
      <c r="H115" s="80"/>
    </row>
    <row r="116" spans="1:15" ht="12">
      <c r="A116" s="41">
        <v>25</v>
      </c>
      <c r="C116" s="4" t="s">
        <v>219</v>
      </c>
      <c r="D116" s="14" t="s">
        <v>279</v>
      </c>
      <c r="E116" s="41">
        <v>25</v>
      </c>
      <c r="G116" s="79"/>
      <c r="H116" s="80">
        <f>+H490</f>
        <v>7016750</v>
      </c>
      <c r="I116" s="79"/>
      <c r="J116" s="80">
        <f>+J490</f>
        <v>3508782</v>
      </c>
      <c r="K116" s="43"/>
      <c r="L116" s="79"/>
      <c r="M116" s="80">
        <f>+M490</f>
        <v>1892396</v>
      </c>
      <c r="O116" s="172"/>
    </row>
    <row r="117" spans="1:13" ht="9.75" customHeight="1">
      <c r="A117" s="5">
        <v>26</v>
      </c>
      <c r="E117" s="5">
        <v>26</v>
      </c>
      <c r="F117" s="15" t="s">
        <v>1</v>
      </c>
      <c r="G117" s="15"/>
      <c r="H117" s="15"/>
      <c r="I117" s="16"/>
      <c r="J117" s="19"/>
      <c r="K117" s="18"/>
      <c r="L117" s="16"/>
      <c r="M117" s="19"/>
    </row>
    <row r="118" spans="1:13" ht="14.25" customHeight="1">
      <c r="A118" s="41">
        <v>27</v>
      </c>
      <c r="C118" s="4" t="s">
        <v>266</v>
      </c>
      <c r="E118" s="41">
        <v>27</v>
      </c>
      <c r="F118" s="71"/>
      <c r="G118" s="79"/>
      <c r="H118" s="80">
        <f>SUM(H114,H116)</f>
        <v>72565619</v>
      </c>
      <c r="I118" s="79"/>
      <c r="J118" s="80">
        <f>SUM(J114,J116)</f>
        <v>72939745</v>
      </c>
      <c r="K118" s="63"/>
      <c r="L118" s="79"/>
      <c r="M118" s="80">
        <f>SUM(M114,M116)+1</f>
        <v>80173320</v>
      </c>
    </row>
    <row r="119" spans="1:13" ht="12">
      <c r="A119" s="41"/>
      <c r="C119" s="4"/>
      <c r="E119" s="41"/>
      <c r="F119" s="71"/>
      <c r="G119" s="63"/>
      <c r="H119" s="43"/>
      <c r="I119" s="63"/>
      <c r="J119" s="63"/>
      <c r="K119" s="63"/>
      <c r="L119" s="63"/>
      <c r="M119" s="63"/>
    </row>
    <row r="120" spans="3:13" ht="12">
      <c r="C120" s="5" t="s">
        <v>102</v>
      </c>
      <c r="D120" s="14"/>
      <c r="F120" s="15"/>
      <c r="G120" s="15"/>
      <c r="H120" s="175">
        <f>+H416</f>
        <v>10191841</v>
      </c>
      <c r="I120" s="16"/>
      <c r="J120" s="17">
        <f>J416</f>
        <v>11368663</v>
      </c>
      <c r="K120" s="18"/>
      <c r="L120" s="16"/>
      <c r="M120" s="173">
        <f>M416</f>
        <v>11596036.26</v>
      </c>
    </row>
    <row r="121" spans="4:13" ht="12">
      <c r="D121" s="14"/>
      <c r="F121" s="15"/>
      <c r="G121" s="15"/>
      <c r="H121" s="15"/>
      <c r="I121" s="16"/>
      <c r="K121" s="18"/>
      <c r="L121" s="16"/>
      <c r="M121" s="19"/>
    </row>
    <row r="122" spans="4:13" ht="12">
      <c r="D122" s="14"/>
      <c r="F122" s="15"/>
      <c r="G122" s="15"/>
      <c r="H122" s="15"/>
      <c r="I122" s="16"/>
      <c r="K122" s="18"/>
      <c r="L122" s="16"/>
      <c r="M122" s="19"/>
    </row>
    <row r="123" ht="12">
      <c r="E123" s="38"/>
    </row>
    <row r="125" spans="1:13" ht="12">
      <c r="A125" s="70" t="str">
        <f>$A$82</f>
        <v>Institution No.:  GFC</v>
      </c>
      <c r="B125" s="21"/>
      <c r="C125" s="21"/>
      <c r="D125" s="21"/>
      <c r="E125" s="20"/>
      <c r="F125" s="21"/>
      <c r="G125" s="21"/>
      <c r="H125" s="21"/>
      <c r="I125" s="22"/>
      <c r="J125" s="23"/>
      <c r="K125" s="21"/>
      <c r="L125" s="22"/>
      <c r="M125" s="69" t="s">
        <v>293</v>
      </c>
    </row>
    <row r="126" spans="1:13" ht="12">
      <c r="A126" s="423" t="s">
        <v>291</v>
      </c>
      <c r="B126" s="423"/>
      <c r="C126" s="423"/>
      <c r="D126" s="423"/>
      <c r="E126" s="423"/>
      <c r="F126" s="423"/>
      <c r="G126" s="423"/>
      <c r="H126" s="423"/>
      <c r="I126" s="423"/>
      <c r="J126" s="423"/>
      <c r="K126" s="423"/>
      <c r="L126" s="423"/>
      <c r="M126" s="423"/>
    </row>
    <row r="127" spans="1:13" ht="12">
      <c r="A127" s="70" t="str">
        <f>$A$42</f>
        <v>NAME: UNIVERSITY OF COLORADO AT COLORADO SPRINGS</v>
      </c>
      <c r="J127" s="25"/>
      <c r="L127" s="6"/>
      <c r="M127" s="72" t="str">
        <f>$M$3</f>
        <v>Date: 10/1/2007</v>
      </c>
    </row>
    <row r="128" spans="1:13" ht="12">
      <c r="A128" s="15" t="s">
        <v>1</v>
      </c>
      <c r="B128" s="15" t="s">
        <v>1</v>
      </c>
      <c r="C128" s="15" t="s">
        <v>1</v>
      </c>
      <c r="D128" s="15" t="s">
        <v>1</v>
      </c>
      <c r="E128" s="15" t="s">
        <v>1</v>
      </c>
      <c r="F128" s="15" t="s">
        <v>1</v>
      </c>
      <c r="G128" s="15"/>
      <c r="H128" s="15"/>
      <c r="I128" s="16" t="s">
        <v>1</v>
      </c>
      <c r="J128" s="19" t="s">
        <v>1</v>
      </c>
      <c r="K128" s="15" t="s">
        <v>1</v>
      </c>
      <c r="L128" s="16" t="s">
        <v>1</v>
      </c>
      <c r="M128" s="19" t="s">
        <v>1</v>
      </c>
    </row>
    <row r="129" spans="1:13" ht="12">
      <c r="A129" s="73" t="s">
        <v>2</v>
      </c>
      <c r="E129" s="73" t="s">
        <v>2</v>
      </c>
      <c r="F129" s="1"/>
      <c r="G129" s="1"/>
      <c r="H129" s="1" t="s">
        <v>172</v>
      </c>
      <c r="I129" s="2"/>
      <c r="J129" s="3" t="s">
        <v>280</v>
      </c>
      <c r="K129" s="1"/>
      <c r="L129" s="2"/>
      <c r="M129" s="3" t="s">
        <v>289</v>
      </c>
    </row>
    <row r="130" spans="1:13" ht="12">
      <c r="A130" s="73" t="s">
        <v>4</v>
      </c>
      <c r="C130" s="74" t="s">
        <v>20</v>
      </c>
      <c r="E130" s="73" t="s">
        <v>4</v>
      </c>
      <c r="F130" s="1"/>
      <c r="G130" s="1"/>
      <c r="H130" s="1" t="s">
        <v>7</v>
      </c>
      <c r="I130" s="2"/>
      <c r="J130" s="3" t="s">
        <v>7</v>
      </c>
      <c r="K130" s="1"/>
      <c r="L130" s="2"/>
      <c r="M130" s="3" t="s">
        <v>8</v>
      </c>
    </row>
    <row r="131" spans="1:13" ht="12">
      <c r="A131" s="15" t="s">
        <v>1</v>
      </c>
      <c r="B131" s="15" t="s">
        <v>1</v>
      </c>
      <c r="C131" s="15" t="s">
        <v>1</v>
      </c>
      <c r="D131" s="15" t="s">
        <v>1</v>
      </c>
      <c r="E131" s="15" t="s">
        <v>1</v>
      </c>
      <c r="F131" s="15" t="s">
        <v>1</v>
      </c>
      <c r="G131" s="15"/>
      <c r="H131" s="15"/>
      <c r="I131" s="16" t="s">
        <v>1</v>
      </c>
      <c r="J131" s="19" t="s">
        <v>1</v>
      </c>
      <c r="K131" s="15" t="s">
        <v>1</v>
      </c>
      <c r="L131" s="16" t="s">
        <v>1</v>
      </c>
      <c r="M131" s="19" t="s">
        <v>1</v>
      </c>
    </row>
    <row r="132" spans="1:5" ht="12">
      <c r="A132" s="5">
        <v>1</v>
      </c>
      <c r="C132" s="5" t="s">
        <v>222</v>
      </c>
      <c r="E132" s="5">
        <v>1</v>
      </c>
    </row>
    <row r="133" spans="1:5" ht="12">
      <c r="A133" s="5">
        <v>2</v>
      </c>
      <c r="C133" s="5" t="s">
        <v>208</v>
      </c>
      <c r="E133" s="5">
        <v>2</v>
      </c>
    </row>
    <row r="134" spans="1:5" ht="12">
      <c r="A134" s="5">
        <v>3</v>
      </c>
      <c r="C134" s="5" t="s">
        <v>209</v>
      </c>
      <c r="E134" s="5">
        <v>3</v>
      </c>
    </row>
    <row r="135" spans="1:5" ht="12">
      <c r="A135" s="5">
        <v>4</v>
      </c>
      <c r="C135" s="5" t="s">
        <v>210</v>
      </c>
      <c r="E135" s="5">
        <v>4</v>
      </c>
    </row>
    <row r="136" spans="1:5" ht="12">
      <c r="A136" s="5">
        <v>5</v>
      </c>
      <c r="C136" s="5" t="s">
        <v>211</v>
      </c>
      <c r="E136" s="5">
        <v>5</v>
      </c>
    </row>
    <row r="137" spans="1:5" ht="12">
      <c r="A137" s="5">
        <v>6</v>
      </c>
      <c r="C137" s="5" t="s">
        <v>212</v>
      </c>
      <c r="E137" s="5">
        <v>6</v>
      </c>
    </row>
    <row r="138" spans="1:5" ht="12">
      <c r="A138" s="5">
        <v>7</v>
      </c>
      <c r="C138" s="5" t="s">
        <v>213</v>
      </c>
      <c r="E138" s="5">
        <v>7</v>
      </c>
    </row>
    <row r="139" spans="1:5" ht="12">
      <c r="A139" s="5">
        <v>8</v>
      </c>
      <c r="C139" s="5" t="s">
        <v>214</v>
      </c>
      <c r="E139" s="5">
        <v>8</v>
      </c>
    </row>
    <row r="140" spans="1:5" ht="12">
      <c r="A140" s="5">
        <v>9</v>
      </c>
      <c r="C140" s="5" t="s">
        <v>215</v>
      </c>
      <c r="E140" s="5">
        <v>9</v>
      </c>
    </row>
    <row r="141" spans="1:5" ht="12">
      <c r="A141" s="5">
        <v>10</v>
      </c>
      <c r="C141" s="5" t="s">
        <v>216</v>
      </c>
      <c r="E141" s="5">
        <v>10</v>
      </c>
    </row>
    <row r="142" spans="1:5" ht="12">
      <c r="A142" s="5">
        <v>11</v>
      </c>
      <c r="C142" s="5" t="s">
        <v>217</v>
      </c>
      <c r="E142" s="5">
        <v>11</v>
      </c>
    </row>
    <row r="143" spans="3:5" ht="12">
      <c r="C143" s="5" t="s">
        <v>218</v>
      </c>
      <c r="E143" s="38"/>
    </row>
    <row r="144" spans="1:13" ht="12">
      <c r="A144" s="5">
        <v>12</v>
      </c>
      <c r="C144" s="5" t="s">
        <v>223</v>
      </c>
      <c r="E144" s="38">
        <v>12</v>
      </c>
      <c r="H144" s="5">
        <f>SUM(H132:H142)</f>
        <v>0</v>
      </c>
      <c r="J144" s="5">
        <f>SUM(J132:J142)</f>
        <v>0</v>
      </c>
      <c r="M144" s="17">
        <f>SUM(M132:M142)</f>
        <v>0</v>
      </c>
    </row>
    <row r="145" ht="12">
      <c r="E145" s="38"/>
    </row>
    <row r="146" ht="12">
      <c r="E146" s="38"/>
    </row>
    <row r="147" ht="12">
      <c r="E147" s="38"/>
    </row>
    <row r="148" ht="12">
      <c r="E148" s="38"/>
    </row>
    <row r="149" ht="12">
      <c r="E149" s="38"/>
    </row>
    <row r="150" ht="12">
      <c r="E150" s="38"/>
    </row>
    <row r="151" ht="12">
      <c r="E151" s="38"/>
    </row>
    <row r="152" ht="12">
      <c r="E152" s="38"/>
    </row>
    <row r="153" ht="12">
      <c r="E153" s="38"/>
    </row>
    <row r="154" ht="12">
      <c r="E154" s="38"/>
    </row>
    <row r="155" ht="12">
      <c r="E155" s="38"/>
    </row>
    <row r="156" ht="12">
      <c r="E156" s="38"/>
    </row>
    <row r="157" spans="3:5" ht="12">
      <c r="C157" s="5" t="s">
        <v>221</v>
      </c>
      <c r="E157" s="38"/>
    </row>
    <row r="158" ht="12">
      <c r="E158" s="38"/>
    </row>
    <row r="159" spans="2:6" ht="12.75">
      <c r="B159" s="83"/>
      <c r="C159" s="84"/>
      <c r="D159" s="85"/>
      <c r="E159" s="85"/>
      <c r="F159" s="85"/>
    </row>
    <row r="160" spans="2:6" ht="12.75">
      <c r="B160" s="83"/>
      <c r="C160" s="84"/>
      <c r="D160" s="85"/>
      <c r="E160" s="85"/>
      <c r="F160" s="85"/>
    </row>
    <row r="161" ht="12">
      <c r="E161" s="38"/>
    </row>
    <row r="162" ht="12">
      <c r="E162" s="38"/>
    </row>
    <row r="163" ht="12">
      <c r="E163" s="38"/>
    </row>
    <row r="164" ht="12">
      <c r="E164" s="38"/>
    </row>
    <row r="165" ht="12">
      <c r="E165" s="38"/>
    </row>
    <row r="166" ht="12">
      <c r="E166" s="38"/>
    </row>
    <row r="167" ht="12">
      <c r="E167" s="38"/>
    </row>
    <row r="168" ht="12">
      <c r="E168" s="38"/>
    </row>
    <row r="169" ht="12">
      <c r="E169" s="38"/>
    </row>
    <row r="170" ht="12">
      <c r="E170" s="38"/>
    </row>
    <row r="171" ht="12">
      <c r="E171" s="38"/>
    </row>
    <row r="172" ht="12">
      <c r="E172" s="38"/>
    </row>
    <row r="173" spans="1:15" ht="12">
      <c r="A173" s="70" t="str">
        <f>$A$82</f>
        <v>Institution No.:  GFC</v>
      </c>
      <c r="E173" s="38"/>
      <c r="I173" s="6"/>
      <c r="J173" s="25"/>
      <c r="L173" s="6"/>
      <c r="M173" s="69" t="s">
        <v>128</v>
      </c>
      <c r="N173" s="71"/>
      <c r="O173" s="86"/>
    </row>
    <row r="174" spans="1:15" s="21" customFormat="1" ht="12">
      <c r="A174" s="423" t="s">
        <v>129</v>
      </c>
      <c r="B174" s="423"/>
      <c r="C174" s="423"/>
      <c r="D174" s="423"/>
      <c r="E174" s="423"/>
      <c r="F174" s="423"/>
      <c r="G174" s="423"/>
      <c r="H174" s="423"/>
      <c r="I174" s="423"/>
      <c r="J174" s="423"/>
      <c r="K174" s="423"/>
      <c r="L174" s="423"/>
      <c r="M174" s="423"/>
      <c r="N174" s="26"/>
      <c r="O174" s="87"/>
    </row>
    <row r="175" spans="1:15" ht="12">
      <c r="A175" s="70" t="str">
        <f>$A$42</f>
        <v>NAME: UNIVERSITY OF COLORADO AT COLORADO SPRINGS</v>
      </c>
      <c r="J175" s="25"/>
      <c r="L175" s="6"/>
      <c r="M175" s="72" t="str">
        <f>$M$3</f>
        <v>Date: 10/1/2007</v>
      </c>
      <c r="N175" s="71"/>
      <c r="O175" s="86"/>
    </row>
    <row r="176" spans="1:13" ht="12">
      <c r="A176" s="15" t="s">
        <v>1</v>
      </c>
      <c r="B176" s="15" t="s">
        <v>1</v>
      </c>
      <c r="C176" s="15" t="s">
        <v>1</v>
      </c>
      <c r="D176" s="15" t="s">
        <v>1</v>
      </c>
      <c r="E176" s="15" t="s">
        <v>1</v>
      </c>
      <c r="F176" s="15" t="s">
        <v>1</v>
      </c>
      <c r="G176" s="15"/>
      <c r="H176" s="15"/>
      <c r="I176" s="16" t="s">
        <v>1</v>
      </c>
      <c r="J176" s="19" t="s">
        <v>1</v>
      </c>
      <c r="K176" s="15" t="s">
        <v>1</v>
      </c>
      <c r="L176" s="16" t="s">
        <v>1</v>
      </c>
      <c r="M176" s="19" t="s">
        <v>1</v>
      </c>
    </row>
    <row r="177" spans="1:13" ht="12">
      <c r="A177" s="73" t="s">
        <v>2</v>
      </c>
      <c r="E177" s="73" t="s">
        <v>2</v>
      </c>
      <c r="G177" s="1"/>
      <c r="H177" s="1" t="s">
        <v>172</v>
      </c>
      <c r="I177" s="2"/>
      <c r="J177" s="3" t="s">
        <v>280</v>
      </c>
      <c r="K177" s="1"/>
      <c r="L177" s="2"/>
      <c r="M177" s="3" t="s">
        <v>289</v>
      </c>
    </row>
    <row r="178" spans="1:13" ht="12">
      <c r="A178" s="73" t="s">
        <v>4</v>
      </c>
      <c r="E178" s="73" t="s">
        <v>4</v>
      </c>
      <c r="G178" s="1"/>
      <c r="H178" s="1" t="s">
        <v>7</v>
      </c>
      <c r="I178" s="2"/>
      <c r="J178" s="3" t="s">
        <v>7</v>
      </c>
      <c r="K178" s="1"/>
      <c r="L178" s="2"/>
      <c r="M178" s="3" t="s">
        <v>8</v>
      </c>
    </row>
    <row r="179" spans="1:13" ht="12">
      <c r="A179" s="15" t="s">
        <v>1</v>
      </c>
      <c r="B179" s="15" t="s">
        <v>1</v>
      </c>
      <c r="C179" s="15" t="s">
        <v>1</v>
      </c>
      <c r="D179" s="15" t="s">
        <v>1</v>
      </c>
      <c r="E179" s="15" t="s">
        <v>1</v>
      </c>
      <c r="F179" s="15" t="s">
        <v>1</v>
      </c>
      <c r="G179" s="15"/>
      <c r="H179" s="15"/>
      <c r="I179" s="16" t="s">
        <v>1</v>
      </c>
      <c r="J179" s="19" t="s">
        <v>1</v>
      </c>
      <c r="K179" s="15" t="s">
        <v>1</v>
      </c>
      <c r="L179" s="16" t="s">
        <v>1</v>
      </c>
      <c r="M179" s="19" t="s">
        <v>1</v>
      </c>
    </row>
    <row r="180" spans="1:13" ht="12">
      <c r="A180" s="41">
        <v>1</v>
      </c>
      <c r="C180" s="4" t="s">
        <v>130</v>
      </c>
      <c r="E180" s="41">
        <v>1</v>
      </c>
      <c r="H180" s="43"/>
      <c r="I180" s="6"/>
      <c r="J180" s="43"/>
      <c r="L180" s="6"/>
      <c r="M180" s="43"/>
    </row>
    <row r="181" spans="1:13" ht="12">
      <c r="A181" s="14" t="s">
        <v>228</v>
      </c>
      <c r="C181" s="4" t="s">
        <v>231</v>
      </c>
      <c r="E181" s="14" t="s">
        <v>228</v>
      </c>
      <c r="F181" s="77"/>
      <c r="G181" s="77"/>
      <c r="H181" s="34"/>
      <c r="I181" s="34"/>
      <c r="J181" s="62"/>
      <c r="K181" s="34"/>
      <c r="L181" s="34"/>
      <c r="M181" s="62"/>
    </row>
    <row r="182" spans="1:13" ht="12">
      <c r="A182" s="14" t="s">
        <v>229</v>
      </c>
      <c r="C182" s="4" t="s">
        <v>232</v>
      </c>
      <c r="E182" s="14" t="s">
        <v>229</v>
      </c>
      <c r="F182" s="77"/>
      <c r="G182" s="77"/>
      <c r="H182" s="62"/>
      <c r="I182" s="34"/>
      <c r="J182" s="62"/>
      <c r="K182" s="34"/>
      <c r="L182" s="34"/>
      <c r="M182" s="62">
        <v>0</v>
      </c>
    </row>
    <row r="183" spans="1:13" ht="12">
      <c r="A183" s="14" t="s">
        <v>230</v>
      </c>
      <c r="C183" s="4" t="s">
        <v>233</v>
      </c>
      <c r="E183" s="14" t="s">
        <v>230</v>
      </c>
      <c r="F183" s="77"/>
      <c r="G183" s="77"/>
      <c r="H183" s="62">
        <v>5133.8</v>
      </c>
      <c r="I183" s="34"/>
      <c r="J183" s="62">
        <f>I403</f>
        <v>5152.5599999999995</v>
      </c>
      <c r="K183" s="34"/>
      <c r="L183" s="34"/>
      <c r="M183" s="62">
        <f>L403</f>
        <v>5255.74</v>
      </c>
    </row>
    <row r="184" spans="1:13" ht="12">
      <c r="A184" s="41">
        <v>3</v>
      </c>
      <c r="C184" s="4" t="s">
        <v>131</v>
      </c>
      <c r="E184" s="41">
        <v>3</v>
      </c>
      <c r="F184" s="77"/>
      <c r="G184" s="77"/>
      <c r="H184" s="62">
        <v>688.2</v>
      </c>
      <c r="I184" s="34"/>
      <c r="J184" s="62">
        <f>I402</f>
        <v>662.36</v>
      </c>
      <c r="K184" s="34"/>
      <c r="L184" s="34"/>
      <c r="M184" s="62">
        <f>L402</f>
        <v>686.12</v>
      </c>
    </row>
    <row r="185" spans="1:13" ht="12">
      <c r="A185" s="41">
        <v>4</v>
      </c>
      <c r="C185" s="4" t="s">
        <v>132</v>
      </c>
      <c r="E185" s="41">
        <v>4</v>
      </c>
      <c r="F185" s="77"/>
      <c r="G185" s="77"/>
      <c r="H185" s="62">
        <f>SUM(H183:H184)</f>
        <v>5822</v>
      </c>
      <c r="I185" s="34"/>
      <c r="J185" s="62">
        <f>SUM(J183:J184)</f>
        <v>5814.919999999999</v>
      </c>
      <c r="K185" s="34"/>
      <c r="L185" s="34"/>
      <c r="M185" s="62">
        <f>SUM(M183:M184)</f>
        <v>5941.86</v>
      </c>
    </row>
    <row r="186" spans="1:13" ht="12">
      <c r="A186" s="41">
        <v>5</v>
      </c>
      <c r="E186" s="41">
        <v>5</v>
      </c>
      <c r="F186" s="77"/>
      <c r="G186" s="77"/>
      <c r="H186" s="62"/>
      <c r="I186" s="34"/>
      <c r="J186" s="62"/>
      <c r="K186" s="34"/>
      <c r="L186" s="34"/>
      <c r="M186" s="62"/>
    </row>
    <row r="187" spans="1:13" ht="12">
      <c r="A187" s="41">
        <v>6</v>
      </c>
      <c r="C187" s="4" t="s">
        <v>133</v>
      </c>
      <c r="E187" s="41">
        <v>6</v>
      </c>
      <c r="F187" s="77"/>
      <c r="G187" s="77"/>
      <c r="H187" s="62">
        <v>337.2</v>
      </c>
      <c r="I187" s="34"/>
      <c r="J187" s="62">
        <f>I405</f>
        <v>277.47</v>
      </c>
      <c r="K187" s="34"/>
      <c r="L187" s="34"/>
      <c r="M187" s="62">
        <f>L405</f>
        <v>258.5</v>
      </c>
    </row>
    <row r="188" spans="1:13" ht="12">
      <c r="A188" s="41">
        <v>7</v>
      </c>
      <c r="C188" s="4" t="s">
        <v>134</v>
      </c>
      <c r="E188" s="41">
        <v>7</v>
      </c>
      <c r="F188" s="77"/>
      <c r="G188" s="77"/>
      <c r="H188" s="62">
        <v>42.8</v>
      </c>
      <c r="I188" s="34"/>
      <c r="J188" s="62">
        <f>I404</f>
        <v>47.17</v>
      </c>
      <c r="K188" s="34"/>
      <c r="L188" s="34"/>
      <c r="M188" s="62">
        <f>L404</f>
        <v>45.64</v>
      </c>
    </row>
    <row r="189" spans="1:13" ht="12">
      <c r="A189" s="41">
        <v>8</v>
      </c>
      <c r="C189" s="4" t="s">
        <v>135</v>
      </c>
      <c r="E189" s="41">
        <v>8</v>
      </c>
      <c r="F189" s="77"/>
      <c r="G189" s="77"/>
      <c r="H189" s="62">
        <f>SUM(H187:H188)</f>
        <v>380</v>
      </c>
      <c r="I189" s="34"/>
      <c r="J189" s="62">
        <f>SUM(J187:J188)</f>
        <v>324.64000000000004</v>
      </c>
      <c r="K189" s="34"/>
      <c r="L189" s="34"/>
      <c r="M189" s="62">
        <f>SUM(M187:M188)</f>
        <v>304.14</v>
      </c>
    </row>
    <row r="190" spans="1:13" ht="12">
      <c r="A190" s="41">
        <v>9</v>
      </c>
      <c r="E190" s="41">
        <v>9</v>
      </c>
      <c r="F190" s="77"/>
      <c r="G190" s="77"/>
      <c r="H190" s="62"/>
      <c r="I190" s="34"/>
      <c r="J190" s="62"/>
      <c r="K190" s="34"/>
      <c r="L190" s="34"/>
      <c r="M190" s="62"/>
    </row>
    <row r="191" spans="1:13" ht="12">
      <c r="A191" s="41">
        <v>10</v>
      </c>
      <c r="C191" s="4" t="s">
        <v>136</v>
      </c>
      <c r="E191" s="41">
        <v>10</v>
      </c>
      <c r="F191" s="77"/>
      <c r="G191" s="77"/>
      <c r="H191" s="62">
        <f>H183+H187</f>
        <v>5471</v>
      </c>
      <c r="I191" s="34"/>
      <c r="J191" s="62">
        <f>J183+J187</f>
        <v>5430.03</v>
      </c>
      <c r="K191" s="34"/>
      <c r="L191" s="34"/>
      <c r="M191" s="62">
        <f>M183+M187</f>
        <v>5514.24</v>
      </c>
    </row>
    <row r="192" spans="1:13" ht="12">
      <c r="A192" s="41">
        <v>11</v>
      </c>
      <c r="C192" s="4" t="s">
        <v>137</v>
      </c>
      <c r="E192" s="41">
        <v>11</v>
      </c>
      <c r="F192" s="77"/>
      <c r="G192" s="77"/>
      <c r="H192" s="62">
        <f>H184+H188</f>
        <v>731</v>
      </c>
      <c r="I192" s="34"/>
      <c r="J192" s="62">
        <f>J184+J188</f>
        <v>709.53</v>
      </c>
      <c r="K192" s="34"/>
      <c r="L192" s="34"/>
      <c r="M192" s="62">
        <f>M184+M188</f>
        <v>731.76</v>
      </c>
    </row>
    <row r="193" spans="1:13" ht="12">
      <c r="A193" s="41">
        <v>12</v>
      </c>
      <c r="C193" s="4" t="s">
        <v>138</v>
      </c>
      <c r="E193" s="41">
        <v>12</v>
      </c>
      <c r="F193" s="77"/>
      <c r="G193" s="77"/>
      <c r="H193" s="62">
        <f>H191+H192</f>
        <v>6202</v>
      </c>
      <c r="I193" s="34"/>
      <c r="J193" s="62">
        <f>J191+J192</f>
        <v>6139.5599999999995</v>
      </c>
      <c r="K193" s="34"/>
      <c r="L193" s="34"/>
      <c r="M193" s="62">
        <f>M191+M192</f>
        <v>6246</v>
      </c>
    </row>
    <row r="194" spans="1:13" ht="12">
      <c r="A194" s="41">
        <v>13</v>
      </c>
      <c r="E194" s="41">
        <v>13</v>
      </c>
      <c r="H194" s="53"/>
      <c r="I194" s="34"/>
      <c r="J194" s="53"/>
      <c r="K194" s="33"/>
      <c r="L194" s="34"/>
      <c r="M194" s="53"/>
    </row>
    <row r="195" spans="1:13" ht="12">
      <c r="A195" s="41">
        <v>15</v>
      </c>
      <c r="C195" s="4" t="s">
        <v>139</v>
      </c>
      <c r="E195" s="41">
        <v>15</v>
      </c>
      <c r="H195" s="88"/>
      <c r="I195" s="34"/>
      <c r="J195" s="88"/>
      <c r="K195" s="33"/>
      <c r="L195" s="34"/>
      <c r="M195" s="88"/>
    </row>
    <row r="196" spans="1:13" ht="12">
      <c r="A196" s="41">
        <v>16</v>
      </c>
      <c r="C196" s="4" t="s">
        <v>200</v>
      </c>
      <c r="E196" s="41">
        <v>16</v>
      </c>
      <c r="H196" s="53">
        <f>(H118-H483)/H193</f>
        <v>11450.455820702999</v>
      </c>
      <c r="I196" s="34"/>
      <c r="J196" s="53">
        <f>(J118-J483)/J193</f>
        <v>11603.333626513953</v>
      </c>
      <c r="K196" s="33"/>
      <c r="L196" s="34"/>
      <c r="M196" s="53">
        <f>(M118-M483)/M193</f>
        <v>12532.968940121678</v>
      </c>
    </row>
    <row r="197" spans="1:13" ht="12">
      <c r="A197" s="131" t="s">
        <v>234</v>
      </c>
      <c r="B197" s="106"/>
      <c r="C197" s="7" t="s">
        <v>235</v>
      </c>
      <c r="E197" s="131" t="s">
        <v>234</v>
      </c>
      <c r="F197" s="106"/>
      <c r="G197" s="106"/>
      <c r="H197" s="132">
        <f>H104/H185</f>
        <v>2071.598419787015</v>
      </c>
      <c r="I197" s="133"/>
      <c r="J197" s="132" t="s">
        <v>284</v>
      </c>
      <c r="K197" s="134"/>
      <c r="L197" s="133"/>
      <c r="M197" s="134" t="s">
        <v>284</v>
      </c>
    </row>
    <row r="198" spans="1:13" ht="12">
      <c r="A198" s="41">
        <v>17</v>
      </c>
      <c r="C198" s="4" t="s">
        <v>282</v>
      </c>
      <c r="E198" s="41">
        <v>17</v>
      </c>
      <c r="H198" s="53">
        <v>0</v>
      </c>
      <c r="I198" s="34"/>
      <c r="J198" s="33">
        <v>2580</v>
      </c>
      <c r="K198" s="33"/>
      <c r="L198" s="34"/>
      <c r="M198" s="33">
        <v>2670</v>
      </c>
    </row>
    <row r="199" spans="1:13" ht="12">
      <c r="A199" s="41">
        <v>18</v>
      </c>
      <c r="E199" s="41">
        <v>18</v>
      </c>
      <c r="H199" s="53"/>
      <c r="I199" s="34"/>
      <c r="J199" s="33"/>
      <c r="K199" s="33"/>
      <c r="L199" s="34"/>
      <c r="M199" s="33"/>
    </row>
    <row r="200" spans="1:13" ht="12">
      <c r="A200" s="5">
        <v>19</v>
      </c>
      <c r="C200" s="4" t="s">
        <v>140</v>
      </c>
      <c r="E200" s="5">
        <v>19</v>
      </c>
      <c r="H200" s="53"/>
      <c r="I200" s="34"/>
      <c r="J200" s="33"/>
      <c r="K200" s="33"/>
      <c r="L200" s="34"/>
      <c r="M200" s="33"/>
    </row>
    <row r="201" spans="1:13" ht="12">
      <c r="A201" s="41">
        <v>20</v>
      </c>
      <c r="C201" s="4" t="s">
        <v>141</v>
      </c>
      <c r="E201" s="41">
        <v>20</v>
      </c>
      <c r="F201" s="27"/>
      <c r="G201" s="27"/>
      <c r="H201" s="52">
        <f>G612</f>
        <v>378.2</v>
      </c>
      <c r="I201" s="32"/>
      <c r="J201" s="52">
        <f>I612</f>
        <v>390.16</v>
      </c>
      <c r="K201" s="32"/>
      <c r="L201" s="32"/>
      <c r="M201" s="52">
        <f>L612</f>
        <v>403.16</v>
      </c>
    </row>
    <row r="202" spans="1:13" ht="12">
      <c r="A202" s="41">
        <v>21</v>
      </c>
      <c r="C202" s="4" t="s">
        <v>142</v>
      </c>
      <c r="E202" s="41">
        <v>21</v>
      </c>
      <c r="F202" s="27"/>
      <c r="G202" s="27"/>
      <c r="H202" s="52">
        <f>G609</f>
        <v>285</v>
      </c>
      <c r="I202" s="32"/>
      <c r="J202" s="52">
        <f>I609</f>
        <v>318.35</v>
      </c>
      <c r="K202" s="32"/>
      <c r="L202" s="32"/>
      <c r="M202" s="52">
        <f>L609</f>
        <v>331.35</v>
      </c>
    </row>
    <row r="203" spans="1:13" ht="12">
      <c r="A203" s="41">
        <v>22</v>
      </c>
      <c r="C203" s="4" t="s">
        <v>143</v>
      </c>
      <c r="E203" s="41">
        <v>22</v>
      </c>
      <c r="F203" s="27"/>
      <c r="G203" s="27"/>
      <c r="H203" s="52">
        <f>G611</f>
        <v>93.2</v>
      </c>
      <c r="I203" s="32"/>
      <c r="J203" s="52">
        <f>I611</f>
        <v>71.81</v>
      </c>
      <c r="K203" s="32"/>
      <c r="L203" s="32"/>
      <c r="M203" s="52">
        <f>L611</f>
        <v>71.81</v>
      </c>
    </row>
    <row r="204" spans="1:13" ht="12">
      <c r="A204" s="41">
        <v>23</v>
      </c>
      <c r="E204" s="41">
        <v>23</v>
      </c>
      <c r="F204" s="27"/>
      <c r="G204" s="27"/>
      <c r="H204" s="32"/>
      <c r="I204" s="32"/>
      <c r="J204" s="52"/>
      <c r="K204" s="32"/>
      <c r="L204" s="32"/>
      <c r="M204" s="32"/>
    </row>
    <row r="205" spans="1:13" ht="12">
      <c r="A205" s="41">
        <v>24</v>
      </c>
      <c r="C205" s="4" t="s">
        <v>144</v>
      </c>
      <c r="E205" s="41">
        <v>24</v>
      </c>
      <c r="F205" s="27"/>
      <c r="G205" s="27"/>
      <c r="H205" s="32"/>
      <c r="I205" s="32"/>
      <c r="J205" s="32"/>
      <c r="K205" s="32"/>
      <c r="L205" s="32"/>
      <c r="M205" s="32"/>
    </row>
    <row r="206" spans="1:13" ht="12">
      <c r="A206" s="41">
        <v>25</v>
      </c>
      <c r="C206" s="4" t="s">
        <v>145</v>
      </c>
      <c r="E206" s="41">
        <v>25</v>
      </c>
      <c r="H206" s="33">
        <f>IF(G612=0,0,H612/G612)</f>
        <v>62860.32522474881</v>
      </c>
      <c r="I206" s="34"/>
      <c r="J206" s="33">
        <f>IF(I612=0,0,J612/I612)</f>
        <v>64519.36656756203</v>
      </c>
      <c r="K206" s="33"/>
      <c r="L206" s="34"/>
      <c r="M206" s="33">
        <f>IF(L612=0,0,M612/L612)</f>
        <v>70215.89443397163</v>
      </c>
    </row>
    <row r="207" spans="1:13" ht="12">
      <c r="A207" s="41">
        <v>26</v>
      </c>
      <c r="C207" s="4" t="s">
        <v>146</v>
      </c>
      <c r="E207" s="41">
        <v>26</v>
      </c>
      <c r="H207" s="33">
        <f>IF(H202=0,0,(H609+H610)/H202)</f>
        <v>77426.15789473684</v>
      </c>
      <c r="I207" s="34"/>
      <c r="J207" s="33">
        <f>IF(J202=0,0,(J609+J610)/J202)</f>
        <v>72964.6281451233</v>
      </c>
      <c r="K207" s="33"/>
      <c r="L207" s="34"/>
      <c r="M207" s="33">
        <f>IF(M202=0,0,(M609+M610)/M202)</f>
        <v>79958.84714048589</v>
      </c>
    </row>
    <row r="208" spans="1:13" ht="12">
      <c r="A208" s="41">
        <v>27</v>
      </c>
      <c r="C208" s="4" t="s">
        <v>147</v>
      </c>
      <c r="E208" s="41">
        <v>27</v>
      </c>
      <c r="H208" s="33">
        <f>IF(H203=0,0,H611/H203)</f>
        <v>18318.884120171675</v>
      </c>
      <c r="I208" s="34"/>
      <c r="J208" s="33">
        <f>IF(J203=0,0,J611/J203)</f>
        <v>27079.608550341178</v>
      </c>
      <c r="K208" s="33"/>
      <c r="L208" s="34"/>
      <c r="M208" s="33">
        <f>IF(M203=0,0,M611/M203)</f>
        <v>25259.378916585432</v>
      </c>
    </row>
    <row r="209" spans="1:13" ht="12">
      <c r="A209" s="41">
        <v>28</v>
      </c>
      <c r="E209" s="41">
        <v>28</v>
      </c>
      <c r="H209" s="33"/>
      <c r="I209" s="34"/>
      <c r="J209" s="33"/>
      <c r="K209" s="33"/>
      <c r="L209" s="34"/>
      <c r="M209" s="33"/>
    </row>
    <row r="210" spans="1:13" ht="12">
      <c r="A210" s="41">
        <v>29</v>
      </c>
      <c r="C210" s="4" t="s">
        <v>148</v>
      </c>
      <c r="E210" s="41">
        <v>29</v>
      </c>
      <c r="F210" s="89"/>
      <c r="G210" s="89"/>
      <c r="H210" s="62">
        <f>G100</f>
        <v>673.2</v>
      </c>
      <c r="I210" s="34"/>
      <c r="J210" s="62">
        <f>I100</f>
        <v>678.73</v>
      </c>
      <c r="K210" s="34"/>
      <c r="L210" s="34"/>
      <c r="M210" s="62">
        <f>L100</f>
        <v>707.5300000000001</v>
      </c>
    </row>
    <row r="211" spans="1:13" ht="12">
      <c r="A211" s="4"/>
      <c r="J211" s="25"/>
      <c r="M211" s="25"/>
    </row>
    <row r="212" spans="1:13" ht="12">
      <c r="A212" s="4"/>
      <c r="J212" s="25"/>
      <c r="M212" s="25"/>
    </row>
    <row r="213" spans="1:13" ht="12">
      <c r="A213" s="4"/>
      <c r="J213" s="25"/>
      <c r="M213" s="25"/>
    </row>
    <row r="214" spans="1:13" ht="12">
      <c r="A214" s="4"/>
      <c r="J214" s="25"/>
      <c r="M214" s="25"/>
    </row>
    <row r="215" spans="1:13" ht="12">
      <c r="A215" s="4"/>
      <c r="J215" s="25"/>
      <c r="M215" s="25"/>
    </row>
    <row r="216" spans="1:13" ht="12">
      <c r="A216" s="4"/>
      <c r="J216" s="25"/>
      <c r="M216" s="25"/>
    </row>
    <row r="217" spans="1:13" ht="12">
      <c r="A217" s="4"/>
      <c r="J217" s="25"/>
      <c r="M217" s="25"/>
    </row>
    <row r="218" spans="1:13" ht="12">
      <c r="A218" s="4"/>
      <c r="J218" s="25"/>
      <c r="M218" s="25"/>
    </row>
    <row r="219" spans="1:13" ht="12">
      <c r="A219" s="4"/>
      <c r="J219" s="25"/>
      <c r="M219" s="25"/>
    </row>
    <row r="220" spans="1:13" ht="12">
      <c r="A220" s="4"/>
      <c r="J220" s="25"/>
      <c r="M220" s="25"/>
    </row>
    <row r="221" spans="1:13" ht="12">
      <c r="A221" s="4"/>
      <c r="J221" s="25"/>
      <c r="M221" s="25"/>
    </row>
    <row r="222" spans="1:13" ht="12">
      <c r="A222" s="4"/>
      <c r="J222" s="25"/>
      <c r="M222" s="25"/>
    </row>
    <row r="223" spans="1:13" ht="12">
      <c r="A223" s="4"/>
      <c r="J223" s="25"/>
      <c r="M223" s="25"/>
    </row>
    <row r="224" spans="5:15" ht="12">
      <c r="E224" s="38"/>
      <c r="I224" s="6"/>
      <c r="J224" s="25"/>
      <c r="K224" s="71"/>
      <c r="M224" s="25"/>
      <c r="O224" s="86"/>
    </row>
    <row r="225" spans="1:15" ht="12">
      <c r="A225" s="70" t="str">
        <f>$A$82</f>
        <v>Institution No.:  GFC</v>
      </c>
      <c r="E225" s="38"/>
      <c r="I225" s="6"/>
      <c r="J225" s="25"/>
      <c r="L225" s="6"/>
      <c r="M225" s="69" t="s">
        <v>149</v>
      </c>
      <c r="N225" s="71"/>
      <c r="O225" s="86"/>
    </row>
    <row r="226" spans="1:15" s="21" customFormat="1" ht="12">
      <c r="A226" s="423" t="s">
        <v>174</v>
      </c>
      <c r="B226" s="423"/>
      <c r="C226" s="423"/>
      <c r="D226" s="423"/>
      <c r="E226" s="423"/>
      <c r="F226" s="423"/>
      <c r="G226" s="423"/>
      <c r="H226" s="423"/>
      <c r="I226" s="423"/>
      <c r="J226" s="423"/>
      <c r="K226" s="423"/>
      <c r="L226" s="423"/>
      <c r="M226" s="423"/>
      <c r="N226" s="26"/>
      <c r="O226" s="87"/>
    </row>
    <row r="227" spans="1:15" ht="12">
      <c r="A227" s="70" t="str">
        <f>$A$42</f>
        <v>NAME: UNIVERSITY OF COLORADO AT COLORADO SPRINGS</v>
      </c>
      <c r="J227" s="25"/>
      <c r="L227" s="6"/>
      <c r="M227" s="72" t="str">
        <f>$M$3</f>
        <v>Date: 10/1/2007</v>
      </c>
      <c r="N227" s="71"/>
      <c r="O227" s="86"/>
    </row>
    <row r="228" spans="1:13" ht="12">
      <c r="A228" s="15" t="s">
        <v>1</v>
      </c>
      <c r="B228" s="15" t="s">
        <v>1</v>
      </c>
      <c r="C228" s="15" t="s">
        <v>1</v>
      </c>
      <c r="D228" s="15" t="s">
        <v>1</v>
      </c>
      <c r="E228" s="15" t="s">
        <v>1</v>
      </c>
      <c r="F228" s="15" t="s">
        <v>1</v>
      </c>
      <c r="G228" s="15"/>
      <c r="H228" s="15"/>
      <c r="I228" s="16" t="s">
        <v>1</v>
      </c>
      <c r="J228" s="19" t="s">
        <v>1</v>
      </c>
      <c r="K228" s="15" t="s">
        <v>1</v>
      </c>
      <c r="L228" s="16" t="s">
        <v>1</v>
      </c>
      <c r="M228" s="19" t="s">
        <v>1</v>
      </c>
    </row>
    <row r="229" spans="1:13" ht="12">
      <c r="A229" s="73" t="s">
        <v>2</v>
      </c>
      <c r="E229" s="73" t="s">
        <v>2</v>
      </c>
      <c r="H229" s="1" t="s">
        <v>280</v>
      </c>
      <c r="I229" s="2"/>
      <c r="J229" s="3" t="s">
        <v>289</v>
      </c>
      <c r="K229" s="1"/>
      <c r="L229" s="2"/>
      <c r="M229" s="3" t="s">
        <v>289</v>
      </c>
    </row>
    <row r="230" spans="1:13" ht="12">
      <c r="A230" s="73" t="s">
        <v>4</v>
      </c>
      <c r="C230" s="4" t="s">
        <v>0</v>
      </c>
      <c r="E230" s="73" t="s">
        <v>4</v>
      </c>
      <c r="H230" s="1" t="s">
        <v>7</v>
      </c>
      <c r="I230" s="2"/>
      <c r="J230" s="3" t="s">
        <v>7</v>
      </c>
      <c r="K230" s="1"/>
      <c r="L230" s="2"/>
      <c r="M230" s="3" t="s">
        <v>307</v>
      </c>
    </row>
    <row r="231" spans="1:13" ht="12">
      <c r="A231" s="15" t="s">
        <v>1</v>
      </c>
      <c r="B231" s="15" t="s">
        <v>1</v>
      </c>
      <c r="C231" s="15" t="s">
        <v>1</v>
      </c>
      <c r="D231" s="15" t="s">
        <v>1</v>
      </c>
      <c r="E231" s="15" t="s">
        <v>1</v>
      </c>
      <c r="F231" s="15" t="s">
        <v>1</v>
      </c>
      <c r="G231" s="15"/>
      <c r="H231" s="15"/>
      <c r="I231" s="16" t="s">
        <v>1</v>
      </c>
      <c r="J231" s="19" t="s">
        <v>1</v>
      </c>
      <c r="K231" s="15" t="s">
        <v>1</v>
      </c>
      <c r="L231" s="16" t="s">
        <v>1</v>
      </c>
      <c r="M231" s="19" t="s">
        <v>1</v>
      </c>
    </row>
    <row r="232" spans="1:13" ht="12">
      <c r="A232" s="41">
        <v>1</v>
      </c>
      <c r="C232" s="4" t="s">
        <v>150</v>
      </c>
      <c r="E232" s="41">
        <v>1</v>
      </c>
      <c r="H232" s="33"/>
      <c r="I232" s="34"/>
      <c r="J232" s="34"/>
      <c r="K232" s="33"/>
      <c r="L232" s="90"/>
      <c r="M232" s="90"/>
    </row>
    <row r="233" spans="1:13" ht="12">
      <c r="A233" s="41">
        <f aca="true" t="shared" si="0" ref="A233:A259">(A232+1)</f>
        <v>2</v>
      </c>
      <c r="C233" s="4" t="s">
        <v>151</v>
      </c>
      <c r="E233" s="41">
        <f aca="true" t="shared" si="1" ref="E233:E260">(E232+1)</f>
        <v>2</v>
      </c>
      <c r="F233" s="77"/>
      <c r="G233" s="77"/>
      <c r="H233" s="34"/>
      <c r="I233" s="34"/>
      <c r="J233" s="34"/>
      <c r="K233" s="34"/>
      <c r="L233" s="90"/>
      <c r="M233" s="91"/>
    </row>
    <row r="234" spans="1:13" ht="12">
      <c r="A234" s="41">
        <f t="shared" si="0"/>
        <v>3</v>
      </c>
      <c r="C234" s="4" t="s">
        <v>152</v>
      </c>
      <c r="E234" s="41">
        <f t="shared" si="1"/>
        <v>3</v>
      </c>
      <c r="F234" s="77"/>
      <c r="G234" s="77"/>
      <c r="H234" s="34"/>
      <c r="I234" s="34"/>
      <c r="J234" s="34"/>
      <c r="K234" s="34"/>
      <c r="L234" s="90"/>
      <c r="M234" s="91"/>
    </row>
    <row r="235" spans="1:13" ht="12">
      <c r="A235" s="41">
        <f t="shared" si="0"/>
        <v>4</v>
      </c>
      <c r="C235" s="5" t="s">
        <v>308</v>
      </c>
      <c r="E235" s="41">
        <f t="shared" si="1"/>
        <v>4</v>
      </c>
      <c r="F235" s="77"/>
      <c r="G235" s="77"/>
      <c r="H235" s="137">
        <v>0</v>
      </c>
      <c r="I235" s="34"/>
      <c r="J235" s="34">
        <v>5190</v>
      </c>
      <c r="K235" s="34"/>
      <c r="L235" s="90"/>
      <c r="M235" s="138">
        <v>0</v>
      </c>
    </row>
    <row r="236" spans="1:13" ht="12">
      <c r="A236" s="41">
        <f t="shared" si="0"/>
        <v>5</v>
      </c>
      <c r="C236" s="4" t="s">
        <v>295</v>
      </c>
      <c r="E236" s="41">
        <f t="shared" si="1"/>
        <v>5</v>
      </c>
      <c r="F236" s="77"/>
      <c r="G236" s="77"/>
      <c r="H236" s="34">
        <v>4066</v>
      </c>
      <c r="I236" s="34"/>
      <c r="J236" s="34">
        <v>4350</v>
      </c>
      <c r="K236" s="34"/>
      <c r="L236" s="90"/>
      <c r="M236" s="138">
        <f>(J236-H236)/H236</f>
        <v>0.06984751598622725</v>
      </c>
    </row>
    <row r="237" spans="1:13" ht="12">
      <c r="A237" s="41">
        <f t="shared" si="0"/>
        <v>6</v>
      </c>
      <c r="C237" s="5" t="s">
        <v>296</v>
      </c>
      <c r="E237" s="41">
        <f t="shared" si="1"/>
        <v>6</v>
      </c>
      <c r="F237" s="77"/>
      <c r="G237" s="77"/>
      <c r="H237" s="34">
        <v>4264</v>
      </c>
      <c r="I237" s="34"/>
      <c r="J237" s="34">
        <v>4562</v>
      </c>
      <c r="K237" s="34"/>
      <c r="L237" s="90"/>
      <c r="M237" s="138">
        <f>(J237-H237)/H237</f>
        <v>0.0698874296435272</v>
      </c>
    </row>
    <row r="238" spans="1:13" ht="12">
      <c r="A238" s="41">
        <f t="shared" si="0"/>
        <v>7</v>
      </c>
      <c r="C238" s="4" t="s">
        <v>297</v>
      </c>
      <c r="E238" s="41">
        <f t="shared" si="1"/>
        <v>7</v>
      </c>
      <c r="F238" s="77"/>
      <c r="G238" s="77"/>
      <c r="H238" s="34">
        <v>4508</v>
      </c>
      <c r="I238" s="34"/>
      <c r="J238" s="34">
        <v>4824</v>
      </c>
      <c r="K238" s="34"/>
      <c r="L238" s="90"/>
      <c r="M238" s="138">
        <f>(J238-H238)/H238</f>
        <v>0.07009760425909495</v>
      </c>
    </row>
    <row r="239" spans="1:13" ht="12">
      <c r="A239" s="41">
        <f t="shared" si="0"/>
        <v>8</v>
      </c>
      <c r="C239" s="4" t="s">
        <v>298</v>
      </c>
      <c r="E239" s="41">
        <f t="shared" si="1"/>
        <v>8</v>
      </c>
      <c r="H239" s="33">
        <v>6250</v>
      </c>
      <c r="I239" s="34"/>
      <c r="J239" s="34">
        <v>6688</v>
      </c>
      <c r="K239" s="33"/>
      <c r="L239" s="90"/>
      <c r="M239" s="138">
        <f>(J239-H239)/H239</f>
        <v>0.07008</v>
      </c>
    </row>
    <row r="240" spans="1:13" ht="12">
      <c r="A240" s="41">
        <f t="shared" si="0"/>
        <v>9</v>
      </c>
      <c r="C240" s="5" t="s">
        <v>299</v>
      </c>
      <c r="E240" s="41">
        <f t="shared" si="1"/>
        <v>9</v>
      </c>
      <c r="H240" s="33">
        <v>4264</v>
      </c>
      <c r="I240" s="34"/>
      <c r="J240" s="34">
        <v>4562</v>
      </c>
      <c r="K240" s="33"/>
      <c r="L240" s="90"/>
      <c r="M240" s="138">
        <f>(J240-H240)/H240</f>
        <v>0.0698874296435272</v>
      </c>
    </row>
    <row r="241" spans="1:13" ht="12">
      <c r="A241" s="41">
        <f t="shared" si="0"/>
        <v>10</v>
      </c>
      <c r="C241" s="4" t="s">
        <v>0</v>
      </c>
      <c r="E241" s="41">
        <f t="shared" si="1"/>
        <v>10</v>
      </c>
      <c r="H241" s="33"/>
      <c r="I241" s="34"/>
      <c r="J241" s="34"/>
      <c r="K241" s="33"/>
      <c r="L241" s="90"/>
      <c r="M241" s="138"/>
    </row>
    <row r="242" spans="1:13" ht="12">
      <c r="A242" s="41">
        <f t="shared" si="0"/>
        <v>11</v>
      </c>
      <c r="C242" s="4" t="s">
        <v>153</v>
      </c>
      <c r="E242" s="41">
        <f t="shared" si="1"/>
        <v>11</v>
      </c>
      <c r="H242" s="33"/>
      <c r="I242" s="34"/>
      <c r="J242" s="34"/>
      <c r="K242" s="33"/>
      <c r="L242" s="90"/>
      <c r="M242" s="138"/>
    </row>
    <row r="243" spans="1:13" ht="12">
      <c r="A243" s="41">
        <f t="shared" si="0"/>
        <v>12</v>
      </c>
      <c r="C243" s="4" t="s">
        <v>300</v>
      </c>
      <c r="E243" s="41">
        <f t="shared" si="1"/>
        <v>12</v>
      </c>
      <c r="H243" s="33">
        <v>5766</v>
      </c>
      <c r="I243" s="34"/>
      <c r="J243" s="34">
        <v>7250</v>
      </c>
      <c r="K243" s="33"/>
      <c r="L243" s="90"/>
      <c r="M243" s="138">
        <f>(J243-H243)/H243</f>
        <v>0.2573707943114811</v>
      </c>
    </row>
    <row r="244" spans="1:13" ht="12">
      <c r="A244" s="41">
        <f t="shared" si="0"/>
        <v>13</v>
      </c>
      <c r="C244" s="4" t="s">
        <v>152</v>
      </c>
      <c r="E244" s="41">
        <f t="shared" si="1"/>
        <v>13</v>
      </c>
      <c r="H244" s="33"/>
      <c r="I244" s="34"/>
      <c r="J244" s="34"/>
      <c r="K244" s="33"/>
      <c r="L244" s="90"/>
      <c r="M244" s="138"/>
    </row>
    <row r="245" spans="1:13" ht="12">
      <c r="A245" s="41">
        <f t="shared" si="0"/>
        <v>14</v>
      </c>
      <c r="C245" s="4" t="s">
        <v>0</v>
      </c>
      <c r="E245" s="41">
        <f t="shared" si="1"/>
        <v>14</v>
      </c>
      <c r="F245" s="27"/>
      <c r="G245" s="27"/>
      <c r="H245" s="32"/>
      <c r="I245" s="32"/>
      <c r="J245" s="32"/>
      <c r="K245" s="32"/>
      <c r="L245" s="46"/>
      <c r="M245" s="139"/>
    </row>
    <row r="246" spans="1:13" ht="12">
      <c r="A246" s="41">
        <f t="shared" si="0"/>
        <v>15</v>
      </c>
      <c r="C246" s="4" t="s">
        <v>0</v>
      </c>
      <c r="E246" s="41">
        <f t="shared" si="1"/>
        <v>15</v>
      </c>
      <c r="F246" s="27"/>
      <c r="G246" s="27"/>
      <c r="H246" s="32"/>
      <c r="I246" s="32"/>
      <c r="J246" s="32"/>
      <c r="K246" s="32"/>
      <c r="L246" s="46"/>
      <c r="M246" s="139"/>
    </row>
    <row r="247" spans="1:13" ht="12">
      <c r="A247" s="41">
        <f t="shared" si="0"/>
        <v>16</v>
      </c>
      <c r="C247" s="4" t="s">
        <v>0</v>
      </c>
      <c r="E247" s="41">
        <f t="shared" si="1"/>
        <v>16</v>
      </c>
      <c r="F247" s="27"/>
      <c r="G247" s="27"/>
      <c r="H247" s="32"/>
      <c r="I247" s="32"/>
      <c r="J247" s="32"/>
      <c r="K247" s="32"/>
      <c r="L247" s="46"/>
      <c r="M247" s="139"/>
    </row>
    <row r="248" spans="1:13" ht="12">
      <c r="A248" s="41">
        <f t="shared" si="0"/>
        <v>17</v>
      </c>
      <c r="C248" s="4" t="s">
        <v>0</v>
      </c>
      <c r="E248" s="41">
        <f t="shared" si="1"/>
        <v>17</v>
      </c>
      <c r="F248" s="27"/>
      <c r="G248" s="27"/>
      <c r="H248" s="32"/>
      <c r="I248" s="32"/>
      <c r="J248" s="32"/>
      <c r="K248" s="32"/>
      <c r="L248" s="46"/>
      <c r="M248" s="139"/>
    </row>
    <row r="249" spans="1:13" ht="12">
      <c r="A249" s="41">
        <f t="shared" si="0"/>
        <v>18</v>
      </c>
      <c r="C249" s="4" t="s">
        <v>0</v>
      </c>
      <c r="E249" s="41">
        <f t="shared" si="1"/>
        <v>18</v>
      </c>
      <c r="F249" s="27"/>
      <c r="G249" s="27"/>
      <c r="H249" s="32"/>
      <c r="I249" s="32"/>
      <c r="J249" s="32"/>
      <c r="K249" s="32"/>
      <c r="L249" s="46"/>
      <c r="M249" s="139"/>
    </row>
    <row r="250" spans="1:13" ht="12">
      <c r="A250" s="41">
        <f t="shared" si="0"/>
        <v>19</v>
      </c>
      <c r="E250" s="41">
        <f t="shared" si="1"/>
        <v>19</v>
      </c>
      <c r="H250" s="33"/>
      <c r="I250" s="34"/>
      <c r="J250" s="34"/>
      <c r="K250" s="33"/>
      <c r="L250" s="90"/>
      <c r="M250" s="138"/>
    </row>
    <row r="251" spans="1:13" ht="12">
      <c r="A251" s="41">
        <f t="shared" si="0"/>
        <v>20</v>
      </c>
      <c r="E251" s="41">
        <f t="shared" si="1"/>
        <v>20</v>
      </c>
      <c r="H251" s="33"/>
      <c r="I251" s="34"/>
      <c r="J251" s="34"/>
      <c r="K251" s="33"/>
      <c r="L251" s="90"/>
      <c r="M251" s="138"/>
    </row>
    <row r="252" spans="1:13" ht="12">
      <c r="A252" s="41">
        <f t="shared" si="0"/>
        <v>21</v>
      </c>
      <c r="C252" s="4" t="s">
        <v>154</v>
      </c>
      <c r="E252" s="41">
        <f t="shared" si="1"/>
        <v>21</v>
      </c>
      <c r="H252" s="33"/>
      <c r="I252" s="34"/>
      <c r="J252" s="34"/>
      <c r="K252" s="33"/>
      <c r="L252" s="90"/>
      <c r="M252" s="138"/>
    </row>
    <row r="253" spans="1:13" ht="12">
      <c r="A253" s="41">
        <f t="shared" si="0"/>
        <v>22</v>
      </c>
      <c r="C253" s="4" t="s">
        <v>151</v>
      </c>
      <c r="E253" s="41">
        <f t="shared" si="1"/>
        <v>22</v>
      </c>
      <c r="H253" s="33"/>
      <c r="I253" s="34"/>
      <c r="J253" s="34"/>
      <c r="K253" s="33"/>
      <c r="L253" s="90"/>
      <c r="M253" s="138"/>
    </row>
    <row r="254" spans="1:13" ht="12">
      <c r="A254" s="41">
        <f t="shared" si="0"/>
        <v>23</v>
      </c>
      <c r="C254" s="4" t="s">
        <v>152</v>
      </c>
      <c r="E254" s="41">
        <f t="shared" si="1"/>
        <v>23</v>
      </c>
      <c r="H254" s="33"/>
      <c r="I254" s="34"/>
      <c r="J254" s="34"/>
      <c r="K254" s="33"/>
      <c r="L254" s="90"/>
      <c r="M254" s="140"/>
    </row>
    <row r="255" spans="1:13" ht="12">
      <c r="A255" s="41">
        <f t="shared" si="0"/>
        <v>24</v>
      </c>
      <c r="C255" s="4" t="s">
        <v>301</v>
      </c>
      <c r="E255" s="41">
        <f t="shared" si="1"/>
        <v>24</v>
      </c>
      <c r="H255" s="33">
        <v>6640</v>
      </c>
      <c r="I255" s="34"/>
      <c r="J255" s="34">
        <v>8186</v>
      </c>
      <c r="K255" s="33"/>
      <c r="L255" s="90"/>
      <c r="M255" s="138">
        <f aca="true" t="shared" si="2" ref="M255:M260">(J255-H255)/H255</f>
        <v>0.23283132530120482</v>
      </c>
    </row>
    <row r="256" spans="1:13" ht="12">
      <c r="A256" s="41">
        <f t="shared" si="0"/>
        <v>25</v>
      </c>
      <c r="C256" s="5" t="s">
        <v>302</v>
      </c>
      <c r="E256" s="41">
        <f t="shared" si="1"/>
        <v>25</v>
      </c>
      <c r="H256" s="33">
        <v>6640</v>
      </c>
      <c r="I256" s="33"/>
      <c r="J256" s="33">
        <v>8186</v>
      </c>
      <c r="K256" s="33"/>
      <c r="L256" s="93"/>
      <c r="M256" s="138">
        <f t="shared" si="2"/>
        <v>0.23283132530120482</v>
      </c>
    </row>
    <row r="257" spans="1:13" ht="12">
      <c r="A257" s="41">
        <f t="shared" si="0"/>
        <v>26</v>
      </c>
      <c r="C257" s="4" t="s">
        <v>303</v>
      </c>
      <c r="E257" s="41">
        <f t="shared" si="1"/>
        <v>26</v>
      </c>
      <c r="H257" s="33">
        <v>6640</v>
      </c>
      <c r="I257" s="34"/>
      <c r="J257" s="34">
        <v>8186</v>
      </c>
      <c r="K257" s="33"/>
      <c r="L257" s="90"/>
      <c r="M257" s="138">
        <f t="shared" si="2"/>
        <v>0.23283132530120482</v>
      </c>
    </row>
    <row r="258" spans="1:13" ht="12">
      <c r="A258" s="41">
        <f t="shared" si="0"/>
        <v>27</v>
      </c>
      <c r="C258" s="4" t="s">
        <v>304</v>
      </c>
      <c r="E258" s="41">
        <f t="shared" si="1"/>
        <v>27</v>
      </c>
      <c r="H258" s="33">
        <v>5766</v>
      </c>
      <c r="I258" s="34"/>
      <c r="J258" s="34">
        <v>7250</v>
      </c>
      <c r="K258" s="33"/>
      <c r="L258" s="90"/>
      <c r="M258" s="138">
        <f t="shared" si="2"/>
        <v>0.2573707943114811</v>
      </c>
    </row>
    <row r="259" spans="1:13" ht="12">
      <c r="A259" s="41">
        <f t="shared" si="0"/>
        <v>28</v>
      </c>
      <c r="C259" s="4" t="s">
        <v>305</v>
      </c>
      <c r="E259" s="41">
        <f t="shared" si="1"/>
        <v>28</v>
      </c>
      <c r="H259" s="33">
        <v>6640</v>
      </c>
      <c r="I259" s="34"/>
      <c r="J259" s="34">
        <v>8186</v>
      </c>
      <c r="K259" s="33"/>
      <c r="L259" s="90"/>
      <c r="M259" s="138">
        <f t="shared" si="2"/>
        <v>0.23283132530120482</v>
      </c>
    </row>
    <row r="260" spans="1:13" ht="12">
      <c r="A260" s="41">
        <v>29</v>
      </c>
      <c r="C260" s="4" t="s">
        <v>306</v>
      </c>
      <c r="E260" s="41">
        <f t="shared" si="1"/>
        <v>29</v>
      </c>
      <c r="F260" s="86"/>
      <c r="G260" s="86"/>
      <c r="H260" s="86">
        <v>9082</v>
      </c>
      <c r="I260" s="6"/>
      <c r="J260" s="25">
        <v>10798</v>
      </c>
      <c r="L260" s="6"/>
      <c r="M260" s="138">
        <f t="shared" si="2"/>
        <v>0.18894516626293767</v>
      </c>
    </row>
    <row r="261" spans="1:5" ht="12">
      <c r="A261" s="41"/>
      <c r="E261" s="38"/>
    </row>
    <row r="262" spans="1:13" s="94" customFormat="1" ht="9">
      <c r="A262" s="94" t="s">
        <v>309</v>
      </c>
      <c r="I262" s="95"/>
      <c r="J262" s="96"/>
      <c r="L262" s="95"/>
      <c r="M262" s="96"/>
    </row>
    <row r="263" spans="1:13" s="94" customFormat="1" ht="9">
      <c r="A263" s="97" t="s">
        <v>175</v>
      </c>
      <c r="I263" s="95"/>
      <c r="J263" s="96"/>
      <c r="L263" s="95"/>
      <c r="M263" s="96"/>
    </row>
    <row r="264" spans="1:13" ht="12">
      <c r="A264" s="4"/>
      <c r="J264" s="25"/>
      <c r="M264" s="25"/>
    </row>
    <row r="265" spans="1:13" ht="12">
      <c r="A265" s="4"/>
      <c r="J265" s="25"/>
      <c r="M265" s="25"/>
    </row>
    <row r="266" spans="1:13" ht="12">
      <c r="A266" s="4"/>
      <c r="J266" s="25"/>
      <c r="M266" s="25"/>
    </row>
    <row r="267" spans="1:13" ht="12">
      <c r="A267" s="4"/>
      <c r="J267" s="25"/>
      <c r="M267" s="25"/>
    </row>
    <row r="268" spans="1:13" ht="12">
      <c r="A268" s="4"/>
      <c r="J268" s="25"/>
      <c r="M268" s="25"/>
    </row>
    <row r="269" spans="1:13" ht="12">
      <c r="A269" s="4"/>
      <c r="J269" s="25"/>
      <c r="M269" s="25"/>
    </row>
    <row r="270" spans="1:13" ht="12">
      <c r="A270" s="4"/>
      <c r="J270" s="25"/>
      <c r="M270" s="25"/>
    </row>
    <row r="271" spans="1:13" ht="12">
      <c r="A271" s="4"/>
      <c r="J271" s="25"/>
      <c r="M271" s="25"/>
    </row>
    <row r="272" spans="1:13" ht="12">
      <c r="A272" s="4"/>
      <c r="J272" s="25"/>
      <c r="M272" s="25"/>
    </row>
    <row r="273" spans="5:15" ht="12">
      <c r="E273" s="38"/>
      <c r="I273" s="6"/>
      <c r="J273" s="25"/>
      <c r="K273" s="71"/>
      <c r="M273" s="25"/>
      <c r="O273" s="86"/>
    </row>
    <row r="274" spans="1:15" ht="12">
      <c r="A274" s="70" t="str">
        <f>$A$82</f>
        <v>Institution No.:  GFC</v>
      </c>
      <c r="E274" s="38"/>
      <c r="I274" s="6"/>
      <c r="J274" s="25"/>
      <c r="L274" s="6"/>
      <c r="M274" s="69" t="s">
        <v>155</v>
      </c>
      <c r="N274" s="71"/>
      <c r="O274" s="86"/>
    </row>
    <row r="275" spans="1:15" ht="12.75" customHeight="1">
      <c r="A275" s="98" t="s">
        <v>156</v>
      </c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71"/>
      <c r="O275" s="86"/>
    </row>
    <row r="276" spans="1:15" ht="12">
      <c r="A276" s="70" t="str">
        <f>$A$42</f>
        <v>NAME: UNIVERSITY OF COLORADO AT COLORADO SPRINGS</v>
      </c>
      <c r="J276" s="25"/>
      <c r="L276" s="6"/>
      <c r="M276" s="72" t="str">
        <f>$M$3</f>
        <v>Date: 10/1/2007</v>
      </c>
      <c r="N276" s="71"/>
      <c r="O276" s="86"/>
    </row>
    <row r="277" spans="1:13" ht="12">
      <c r="A277" s="15" t="s">
        <v>1</v>
      </c>
      <c r="B277" s="15" t="s">
        <v>1</v>
      </c>
      <c r="C277" s="15" t="s">
        <v>1</v>
      </c>
      <c r="D277" s="15" t="s">
        <v>1</v>
      </c>
      <c r="E277" s="15" t="s">
        <v>1</v>
      </c>
      <c r="F277" s="15" t="s">
        <v>1</v>
      </c>
      <c r="G277" s="15"/>
      <c r="H277" s="15"/>
      <c r="I277" s="16" t="s">
        <v>1</v>
      </c>
      <c r="J277" s="19" t="s">
        <v>1</v>
      </c>
      <c r="K277" s="15" t="s">
        <v>1</v>
      </c>
      <c r="L277" s="16" t="s">
        <v>1</v>
      </c>
      <c r="M277" s="19" t="s">
        <v>1</v>
      </c>
    </row>
    <row r="278" spans="1:13" ht="12">
      <c r="A278" s="73" t="s">
        <v>2</v>
      </c>
      <c r="E278" s="73" t="s">
        <v>2</v>
      </c>
      <c r="H278" s="1" t="s">
        <v>280</v>
      </c>
      <c r="I278" s="2"/>
      <c r="J278" s="3" t="s">
        <v>289</v>
      </c>
      <c r="K278" s="1"/>
      <c r="L278" s="2"/>
      <c r="M278" s="3" t="s">
        <v>289</v>
      </c>
    </row>
    <row r="279" spans="1:13" ht="12">
      <c r="A279" s="73" t="s">
        <v>4</v>
      </c>
      <c r="C279" s="4" t="s">
        <v>0</v>
      </c>
      <c r="E279" s="73" t="s">
        <v>4</v>
      </c>
      <c r="H279" s="1" t="s">
        <v>7</v>
      </c>
      <c r="I279" s="2"/>
      <c r="J279" s="3" t="s">
        <v>7</v>
      </c>
      <c r="K279" s="1"/>
      <c r="L279" s="2"/>
      <c r="M279" s="3" t="s">
        <v>307</v>
      </c>
    </row>
    <row r="280" spans="1:13" ht="12">
      <c r="A280" s="15" t="s">
        <v>1</v>
      </c>
      <c r="B280" s="15" t="s">
        <v>1</v>
      </c>
      <c r="C280" s="15" t="s">
        <v>1</v>
      </c>
      <c r="D280" s="15" t="s">
        <v>1</v>
      </c>
      <c r="E280" s="15" t="s">
        <v>1</v>
      </c>
      <c r="F280" s="15" t="s">
        <v>1</v>
      </c>
      <c r="G280" s="15"/>
      <c r="H280" s="15"/>
      <c r="I280" s="16" t="s">
        <v>1</v>
      </c>
      <c r="J280" s="19" t="s">
        <v>1</v>
      </c>
      <c r="K280" s="15" t="s">
        <v>1</v>
      </c>
      <c r="L280" s="16" t="s">
        <v>1</v>
      </c>
      <c r="M280" s="19" t="s">
        <v>1</v>
      </c>
    </row>
    <row r="281" spans="1:13" ht="12">
      <c r="A281" s="41">
        <v>1</v>
      </c>
      <c r="C281" s="4" t="s">
        <v>150</v>
      </c>
      <c r="E281" s="41">
        <v>1</v>
      </c>
      <c r="H281" s="33"/>
      <c r="I281" s="34"/>
      <c r="J281" s="34"/>
      <c r="K281" s="33"/>
      <c r="L281" s="6"/>
      <c r="M281" s="25"/>
    </row>
    <row r="282" spans="1:12" ht="12">
      <c r="A282" s="41">
        <f aca="true" t="shared" si="3" ref="A282:A310">(A281+1)</f>
        <v>2</v>
      </c>
      <c r="C282" s="4" t="s">
        <v>151</v>
      </c>
      <c r="E282" s="41">
        <f aca="true" t="shared" si="4" ref="E282:E310">(E281+1)</f>
        <v>2</v>
      </c>
      <c r="F282" s="77"/>
      <c r="G282" s="77"/>
      <c r="H282" s="34"/>
      <c r="I282" s="34"/>
      <c r="J282" s="34"/>
      <c r="K282" s="34"/>
      <c r="L282" s="6"/>
    </row>
    <row r="283" spans="1:13" ht="12">
      <c r="A283" s="41">
        <f t="shared" si="3"/>
        <v>3</v>
      </c>
      <c r="C283" s="4" t="s">
        <v>152</v>
      </c>
      <c r="E283" s="41">
        <f t="shared" si="4"/>
        <v>3</v>
      </c>
      <c r="F283" s="77"/>
      <c r="G283" s="77"/>
      <c r="H283" s="34"/>
      <c r="I283" s="34"/>
      <c r="J283" s="34"/>
      <c r="K283" s="34"/>
      <c r="L283" s="6"/>
      <c r="M283" s="91"/>
    </row>
    <row r="284" spans="1:13" ht="12">
      <c r="A284" s="41">
        <f t="shared" si="3"/>
        <v>4</v>
      </c>
      <c r="C284" s="5" t="s">
        <v>308</v>
      </c>
      <c r="E284" s="41">
        <f t="shared" si="4"/>
        <v>4</v>
      </c>
      <c r="F284" s="77"/>
      <c r="G284" s="77"/>
      <c r="H284" s="137">
        <v>0</v>
      </c>
      <c r="I284" s="34"/>
      <c r="J284" s="34">
        <v>15300</v>
      </c>
      <c r="K284" s="34"/>
      <c r="L284" s="6"/>
      <c r="M284" s="138">
        <v>0</v>
      </c>
    </row>
    <row r="285" spans="1:13" ht="12">
      <c r="A285" s="41">
        <f t="shared" si="3"/>
        <v>5</v>
      </c>
      <c r="C285" s="4" t="s">
        <v>295</v>
      </c>
      <c r="E285" s="41">
        <f t="shared" si="4"/>
        <v>5</v>
      </c>
      <c r="F285" s="77"/>
      <c r="G285" s="77"/>
      <c r="H285" s="34">
        <v>15300</v>
      </c>
      <c r="I285" s="34"/>
      <c r="J285" s="34">
        <v>15300</v>
      </c>
      <c r="K285" s="34"/>
      <c r="L285" s="6"/>
      <c r="M285" s="138">
        <f>(J285-H285)/H285</f>
        <v>0</v>
      </c>
    </row>
    <row r="286" spans="1:13" ht="12">
      <c r="A286" s="41">
        <f t="shared" si="3"/>
        <v>6</v>
      </c>
      <c r="C286" s="5" t="s">
        <v>296</v>
      </c>
      <c r="E286" s="41">
        <f t="shared" si="4"/>
        <v>6</v>
      </c>
      <c r="F286" s="77"/>
      <c r="G286" s="77"/>
      <c r="H286" s="34">
        <v>15500</v>
      </c>
      <c r="I286" s="34"/>
      <c r="J286" s="34">
        <v>15500</v>
      </c>
      <c r="K286" s="34"/>
      <c r="L286" s="6"/>
      <c r="M286" s="138">
        <f>(J286-H286)/H286</f>
        <v>0</v>
      </c>
    </row>
    <row r="287" spans="1:13" ht="12">
      <c r="A287" s="41">
        <f t="shared" si="3"/>
        <v>7</v>
      </c>
      <c r="C287" s="4" t="s">
        <v>297</v>
      </c>
      <c r="E287" s="41">
        <f t="shared" si="4"/>
        <v>7</v>
      </c>
      <c r="F287" s="77"/>
      <c r="G287" s="77"/>
      <c r="H287" s="34">
        <v>15800</v>
      </c>
      <c r="I287" s="34"/>
      <c r="J287" s="34">
        <v>15800</v>
      </c>
      <c r="K287" s="34"/>
      <c r="L287" s="6"/>
      <c r="M287" s="138">
        <f>(J287-H287)/H287</f>
        <v>0</v>
      </c>
    </row>
    <row r="288" spans="1:13" ht="12">
      <c r="A288" s="41">
        <f t="shared" si="3"/>
        <v>8</v>
      </c>
      <c r="C288" s="4" t="s">
        <v>298</v>
      </c>
      <c r="E288" s="41">
        <f t="shared" si="4"/>
        <v>8</v>
      </c>
      <c r="H288" s="33">
        <v>15800</v>
      </c>
      <c r="I288" s="34"/>
      <c r="J288" s="34">
        <v>15800</v>
      </c>
      <c r="K288" s="33"/>
      <c r="L288" s="6"/>
      <c r="M288" s="138">
        <f>(J288-H288)/H288</f>
        <v>0</v>
      </c>
    </row>
    <row r="289" spans="1:13" ht="12">
      <c r="A289" s="41">
        <f t="shared" si="3"/>
        <v>9</v>
      </c>
      <c r="C289" s="5" t="s">
        <v>299</v>
      </c>
      <c r="E289" s="41">
        <f t="shared" si="4"/>
        <v>9</v>
      </c>
      <c r="H289" s="33">
        <v>15500</v>
      </c>
      <c r="I289" s="34"/>
      <c r="J289" s="34">
        <v>15500</v>
      </c>
      <c r="K289" s="33"/>
      <c r="L289" s="6"/>
      <c r="M289" s="138">
        <f>(J289-H289)/H289</f>
        <v>0</v>
      </c>
    </row>
    <row r="290" spans="1:13" ht="12">
      <c r="A290" s="41">
        <f t="shared" si="3"/>
        <v>10</v>
      </c>
      <c r="C290" s="4" t="s">
        <v>0</v>
      </c>
      <c r="E290" s="41">
        <f t="shared" si="4"/>
        <v>10</v>
      </c>
      <c r="H290" s="33"/>
      <c r="I290" s="34"/>
      <c r="J290" s="34"/>
      <c r="K290" s="33"/>
      <c r="L290" s="6"/>
      <c r="M290" s="138"/>
    </row>
    <row r="291" spans="1:13" ht="12">
      <c r="A291" s="41">
        <f t="shared" si="3"/>
        <v>11</v>
      </c>
      <c r="C291" s="4" t="s">
        <v>153</v>
      </c>
      <c r="E291" s="41">
        <f t="shared" si="4"/>
        <v>11</v>
      </c>
      <c r="H291" s="33"/>
      <c r="I291" s="34"/>
      <c r="J291" s="34"/>
      <c r="K291" s="33"/>
      <c r="L291" s="6"/>
      <c r="M291" s="138"/>
    </row>
    <row r="292" spans="1:13" ht="12">
      <c r="A292" s="41">
        <f t="shared" si="3"/>
        <v>12</v>
      </c>
      <c r="C292" s="4" t="s">
        <v>300</v>
      </c>
      <c r="E292" s="41">
        <f t="shared" si="4"/>
        <v>12</v>
      </c>
      <c r="H292" s="33">
        <v>16800</v>
      </c>
      <c r="I292" s="34"/>
      <c r="J292" s="34">
        <v>17880</v>
      </c>
      <c r="K292" s="33"/>
      <c r="L292" s="6"/>
      <c r="M292" s="138">
        <f>(J292-H292)/H292</f>
        <v>0.06428571428571428</v>
      </c>
    </row>
    <row r="293" spans="1:13" ht="12">
      <c r="A293" s="41">
        <f t="shared" si="3"/>
        <v>13</v>
      </c>
      <c r="C293" s="4" t="s">
        <v>152</v>
      </c>
      <c r="E293" s="41">
        <f t="shared" si="4"/>
        <v>13</v>
      </c>
      <c r="H293" s="33"/>
      <c r="I293" s="34"/>
      <c r="J293" s="34"/>
      <c r="K293" s="33"/>
      <c r="L293" s="6"/>
      <c r="M293" s="91"/>
    </row>
    <row r="294" spans="1:13" ht="12">
      <c r="A294" s="41">
        <f t="shared" si="3"/>
        <v>14</v>
      </c>
      <c r="C294" s="4" t="s">
        <v>0</v>
      </c>
      <c r="E294" s="41">
        <f t="shared" si="4"/>
        <v>14</v>
      </c>
      <c r="F294" s="27"/>
      <c r="G294" s="27"/>
      <c r="H294" s="32"/>
      <c r="I294" s="32"/>
      <c r="J294" s="32"/>
      <c r="K294" s="32"/>
      <c r="L294" s="39"/>
      <c r="M294" s="92"/>
    </row>
    <row r="295" spans="1:13" ht="12">
      <c r="A295" s="41">
        <f t="shared" si="3"/>
        <v>15</v>
      </c>
      <c r="C295" s="4" t="s">
        <v>0</v>
      </c>
      <c r="E295" s="41">
        <f t="shared" si="4"/>
        <v>15</v>
      </c>
      <c r="F295" s="27"/>
      <c r="G295" s="27"/>
      <c r="H295" s="32"/>
      <c r="I295" s="32"/>
      <c r="J295" s="32"/>
      <c r="K295" s="32"/>
      <c r="L295" s="39"/>
      <c r="M295" s="92"/>
    </row>
    <row r="296" spans="1:13" ht="12">
      <c r="A296" s="41">
        <f t="shared" si="3"/>
        <v>16</v>
      </c>
      <c r="C296" s="4" t="s">
        <v>0</v>
      </c>
      <c r="E296" s="41">
        <f t="shared" si="4"/>
        <v>16</v>
      </c>
      <c r="F296" s="27"/>
      <c r="G296" s="27"/>
      <c r="H296" s="32"/>
      <c r="I296" s="32"/>
      <c r="J296" s="32"/>
      <c r="K296" s="32"/>
      <c r="L296" s="39"/>
      <c r="M296" s="92"/>
    </row>
    <row r="297" spans="1:13" ht="12">
      <c r="A297" s="41">
        <f t="shared" si="3"/>
        <v>17</v>
      </c>
      <c r="C297" s="4" t="s">
        <v>0</v>
      </c>
      <c r="E297" s="41">
        <f t="shared" si="4"/>
        <v>17</v>
      </c>
      <c r="F297" s="27"/>
      <c r="G297" s="27"/>
      <c r="H297" s="32"/>
      <c r="I297" s="32"/>
      <c r="J297" s="32"/>
      <c r="K297" s="32"/>
      <c r="L297" s="39"/>
      <c r="M297" s="92"/>
    </row>
    <row r="298" spans="1:13" ht="12">
      <c r="A298" s="41">
        <f t="shared" si="3"/>
        <v>18</v>
      </c>
      <c r="C298" s="4" t="s">
        <v>0</v>
      </c>
      <c r="E298" s="41">
        <f t="shared" si="4"/>
        <v>18</v>
      </c>
      <c r="F298" s="27"/>
      <c r="G298" s="27"/>
      <c r="H298" s="32"/>
      <c r="I298" s="32"/>
      <c r="J298" s="32"/>
      <c r="K298" s="32"/>
      <c r="L298" s="39"/>
      <c r="M298" s="92"/>
    </row>
    <row r="299" spans="1:13" ht="12">
      <c r="A299" s="41">
        <f t="shared" si="3"/>
        <v>19</v>
      </c>
      <c r="E299" s="41">
        <f t="shared" si="4"/>
        <v>19</v>
      </c>
      <c r="H299" s="33"/>
      <c r="I299" s="34"/>
      <c r="J299" s="34"/>
      <c r="K299" s="33"/>
      <c r="L299" s="6"/>
      <c r="M299" s="91"/>
    </row>
    <row r="300" spans="1:13" ht="12">
      <c r="A300" s="41">
        <f t="shared" si="3"/>
        <v>20</v>
      </c>
      <c r="E300" s="41">
        <f t="shared" si="4"/>
        <v>20</v>
      </c>
      <c r="H300" s="33"/>
      <c r="I300" s="34"/>
      <c r="J300" s="34"/>
      <c r="K300" s="33"/>
      <c r="L300" s="6"/>
      <c r="M300" s="91"/>
    </row>
    <row r="301" spans="1:13" ht="12">
      <c r="A301" s="41">
        <f t="shared" si="3"/>
        <v>21</v>
      </c>
      <c r="C301" s="4" t="s">
        <v>154</v>
      </c>
      <c r="E301" s="41">
        <f t="shared" si="4"/>
        <v>21</v>
      </c>
      <c r="H301" s="33"/>
      <c r="I301" s="34"/>
      <c r="J301" s="34"/>
      <c r="K301" s="33"/>
      <c r="L301" s="6"/>
      <c r="M301" s="91"/>
    </row>
    <row r="302" spans="1:13" ht="12">
      <c r="A302" s="41">
        <f t="shared" si="3"/>
        <v>22</v>
      </c>
      <c r="C302" s="4" t="s">
        <v>151</v>
      </c>
      <c r="E302" s="41">
        <f t="shared" si="4"/>
        <v>22</v>
      </c>
      <c r="H302" s="33"/>
      <c r="I302" s="34"/>
      <c r="J302" s="34"/>
      <c r="K302" s="33"/>
      <c r="L302" s="6"/>
      <c r="M302" s="135"/>
    </row>
    <row r="303" spans="1:13" ht="12">
      <c r="A303" s="41">
        <f t="shared" si="3"/>
        <v>23</v>
      </c>
      <c r="C303" s="4" t="s">
        <v>152</v>
      </c>
      <c r="E303" s="41">
        <f t="shared" si="4"/>
        <v>23</v>
      </c>
      <c r="H303" s="33"/>
      <c r="I303" s="34"/>
      <c r="J303" s="34"/>
      <c r="K303" s="33"/>
      <c r="L303" s="6"/>
      <c r="M303" s="91"/>
    </row>
    <row r="304" spans="1:13" ht="12">
      <c r="A304" s="41">
        <f t="shared" si="3"/>
        <v>24</v>
      </c>
      <c r="C304" s="4" t="s">
        <v>301</v>
      </c>
      <c r="E304" s="41">
        <f t="shared" si="4"/>
        <v>24</v>
      </c>
      <c r="H304" s="33">
        <v>18000</v>
      </c>
      <c r="I304" s="34"/>
      <c r="J304" s="34">
        <v>19080</v>
      </c>
      <c r="K304" s="33"/>
      <c r="L304" s="6"/>
      <c r="M304" s="138">
        <f aca="true" t="shared" si="5" ref="M304:M309">(J304-H304)/H304</f>
        <v>0.06</v>
      </c>
    </row>
    <row r="305" spans="1:13" ht="12">
      <c r="A305" s="41">
        <f t="shared" si="3"/>
        <v>25</v>
      </c>
      <c r="C305" s="5" t="s">
        <v>302</v>
      </c>
      <c r="E305" s="41">
        <f t="shared" si="4"/>
        <v>25</v>
      </c>
      <c r="H305" s="33">
        <v>18000</v>
      </c>
      <c r="I305" s="33"/>
      <c r="J305" s="33">
        <v>19080</v>
      </c>
      <c r="K305" s="33"/>
      <c r="M305" s="138">
        <f t="shared" si="5"/>
        <v>0.06</v>
      </c>
    </row>
    <row r="306" spans="1:13" ht="12">
      <c r="A306" s="41">
        <f t="shared" si="3"/>
        <v>26</v>
      </c>
      <c r="C306" s="4" t="s">
        <v>303</v>
      </c>
      <c r="E306" s="41">
        <f t="shared" si="4"/>
        <v>26</v>
      </c>
      <c r="H306" s="33">
        <v>18000</v>
      </c>
      <c r="I306" s="34"/>
      <c r="J306" s="34">
        <v>19080</v>
      </c>
      <c r="K306" s="33"/>
      <c r="L306" s="6"/>
      <c r="M306" s="138">
        <f t="shared" si="5"/>
        <v>0.06</v>
      </c>
    </row>
    <row r="307" spans="1:13" ht="12">
      <c r="A307" s="41">
        <f t="shared" si="3"/>
        <v>27</v>
      </c>
      <c r="C307" s="4" t="s">
        <v>304</v>
      </c>
      <c r="E307" s="41">
        <f t="shared" si="4"/>
        <v>27</v>
      </c>
      <c r="H307" s="33">
        <v>16800</v>
      </c>
      <c r="I307" s="34"/>
      <c r="J307" s="34">
        <v>17880</v>
      </c>
      <c r="K307" s="33"/>
      <c r="L307" s="6"/>
      <c r="M307" s="138">
        <f t="shared" si="5"/>
        <v>0.06428571428571428</v>
      </c>
    </row>
    <row r="308" spans="1:13" ht="12">
      <c r="A308" s="41">
        <f t="shared" si="3"/>
        <v>28</v>
      </c>
      <c r="C308" s="4" t="s">
        <v>305</v>
      </c>
      <c r="E308" s="41">
        <f t="shared" si="4"/>
        <v>28</v>
      </c>
      <c r="H308" s="33">
        <v>18000</v>
      </c>
      <c r="I308" s="34"/>
      <c r="J308" s="34">
        <v>19080</v>
      </c>
      <c r="K308" s="33"/>
      <c r="L308" s="6"/>
      <c r="M308" s="138">
        <f t="shared" si="5"/>
        <v>0.06</v>
      </c>
    </row>
    <row r="309" spans="1:13" ht="12">
      <c r="A309" s="41">
        <f t="shared" si="3"/>
        <v>29</v>
      </c>
      <c r="C309" s="4" t="s">
        <v>306</v>
      </c>
      <c r="E309" s="41">
        <f t="shared" si="4"/>
        <v>29</v>
      </c>
      <c r="F309" s="86"/>
      <c r="G309" s="86"/>
      <c r="H309" s="34">
        <v>18000</v>
      </c>
      <c r="I309" s="34"/>
      <c r="J309" s="34">
        <v>19080</v>
      </c>
      <c r="K309" s="33"/>
      <c r="L309" s="6"/>
      <c r="M309" s="138">
        <f t="shared" si="5"/>
        <v>0.06</v>
      </c>
    </row>
    <row r="310" spans="1:11" ht="12">
      <c r="A310" s="41">
        <f t="shared" si="3"/>
        <v>30</v>
      </c>
      <c r="E310" s="41">
        <f t="shared" si="4"/>
        <v>30</v>
      </c>
      <c r="H310" s="33"/>
      <c r="I310" s="33"/>
      <c r="J310" s="33"/>
      <c r="K310" s="33"/>
    </row>
    <row r="312" ht="12">
      <c r="A312" s="4"/>
    </row>
    <row r="313" spans="1:13" ht="12">
      <c r="A313" s="4"/>
      <c r="J313" s="25"/>
      <c r="M313" s="25"/>
    </row>
    <row r="314" spans="1:13" ht="12">
      <c r="A314" s="4"/>
      <c r="J314" s="25"/>
      <c r="M314" s="25"/>
    </row>
    <row r="315" spans="1:13" ht="12">
      <c r="A315" s="4"/>
      <c r="J315" s="25"/>
      <c r="M315" s="25"/>
    </row>
    <row r="316" spans="1:13" ht="12">
      <c r="A316" s="4"/>
      <c r="J316" s="25"/>
      <c r="M316" s="25"/>
    </row>
    <row r="317" spans="1:13" ht="12">
      <c r="A317" s="4"/>
      <c r="J317" s="25"/>
      <c r="M317" s="25"/>
    </row>
    <row r="318" spans="1:13" ht="12">
      <c r="A318" s="4"/>
      <c r="J318" s="25"/>
      <c r="M318" s="25"/>
    </row>
    <row r="319" spans="1:13" ht="12">
      <c r="A319" s="4"/>
      <c r="J319" s="25"/>
      <c r="M319" s="25"/>
    </row>
    <row r="320" spans="1:13" ht="12">
      <c r="A320" s="4"/>
      <c r="J320" s="25"/>
      <c r="M320" s="25"/>
    </row>
    <row r="321" spans="1:13" ht="12">
      <c r="A321" s="70" t="str">
        <f>$A$82</f>
        <v>Institution No.:  GFC</v>
      </c>
      <c r="C321" s="99"/>
      <c r="I321" s="5"/>
      <c r="J321" s="5"/>
      <c r="K321" s="75" t="s">
        <v>176</v>
      </c>
      <c r="L321" s="5"/>
      <c r="M321" s="5"/>
    </row>
    <row r="322" spans="1:13" ht="12">
      <c r="A322" s="82"/>
      <c r="B322" s="436" t="s">
        <v>177</v>
      </c>
      <c r="C322" s="436"/>
      <c r="D322" s="436"/>
      <c r="E322" s="436"/>
      <c r="F322" s="436"/>
      <c r="G322" s="436"/>
      <c r="H322" s="436"/>
      <c r="I322" s="436"/>
      <c r="J322" s="436"/>
      <c r="K322" s="436"/>
      <c r="L322" s="436"/>
      <c r="M322" s="436"/>
    </row>
    <row r="323" spans="1:13" ht="12">
      <c r="A323" s="70" t="str">
        <f>$A$42</f>
        <v>NAME: UNIVERSITY OF COLORADO AT COLORADO SPRINGS</v>
      </c>
      <c r="I323" s="5"/>
      <c r="J323" s="5"/>
      <c r="K323" s="100" t="s">
        <v>194</v>
      </c>
      <c r="L323" s="5"/>
      <c r="M323" s="5"/>
    </row>
    <row r="324" spans="1:13" ht="12">
      <c r="A324" s="15"/>
      <c r="C324" s="15" t="s">
        <v>1</v>
      </c>
      <c r="D324" s="15" t="s">
        <v>1</v>
      </c>
      <c r="E324" s="15" t="s">
        <v>1</v>
      </c>
      <c r="F324" s="15" t="s">
        <v>1</v>
      </c>
      <c r="G324" s="15"/>
      <c r="H324" s="15"/>
      <c r="I324" s="15" t="s">
        <v>1</v>
      </c>
      <c r="J324" s="15" t="s">
        <v>1</v>
      </c>
      <c r="K324" s="15" t="s">
        <v>1</v>
      </c>
      <c r="L324" s="15" t="s">
        <v>1</v>
      </c>
      <c r="M324" s="5"/>
    </row>
    <row r="325" spans="1:13" ht="12">
      <c r="A325" s="73"/>
      <c r="D325" s="74" t="s">
        <v>172</v>
      </c>
      <c r="G325" s="74"/>
      <c r="I325" s="74" t="s">
        <v>280</v>
      </c>
      <c r="J325" s="5"/>
      <c r="L325" s="5"/>
      <c r="M325" s="5"/>
    </row>
    <row r="326" spans="1:13" ht="12">
      <c r="A326" s="73"/>
      <c r="D326" s="74" t="s">
        <v>178</v>
      </c>
      <c r="G326" s="74"/>
      <c r="I326" s="74" t="s">
        <v>7</v>
      </c>
      <c r="J326" s="5"/>
      <c r="L326" s="5"/>
      <c r="M326" s="5"/>
    </row>
    <row r="327" spans="1:13" ht="12">
      <c r="A327" s="15"/>
      <c r="D327" s="74" t="s">
        <v>21</v>
      </c>
      <c r="E327" s="74" t="s">
        <v>21</v>
      </c>
      <c r="F327" s="74" t="s">
        <v>179</v>
      </c>
      <c r="G327" s="74"/>
      <c r="H327" s="74"/>
      <c r="I327" s="74" t="s">
        <v>21</v>
      </c>
      <c r="J327" s="74" t="s">
        <v>21</v>
      </c>
      <c r="K327" s="74" t="s">
        <v>179</v>
      </c>
      <c r="L327" s="74"/>
      <c r="M327" s="5"/>
    </row>
    <row r="328" spans="1:13" ht="12">
      <c r="A328" s="4"/>
      <c r="C328" s="74" t="s">
        <v>180</v>
      </c>
      <c r="D328" s="74" t="s">
        <v>181</v>
      </c>
      <c r="E328" s="74" t="s">
        <v>182</v>
      </c>
      <c r="F328" s="74" t="s">
        <v>183</v>
      </c>
      <c r="G328" s="74"/>
      <c r="H328" s="74"/>
      <c r="I328" s="74" t="s">
        <v>181</v>
      </c>
      <c r="J328" s="74" t="s">
        <v>182</v>
      </c>
      <c r="K328" s="74" t="s">
        <v>183</v>
      </c>
      <c r="L328" s="74"/>
      <c r="M328" s="5"/>
    </row>
    <row r="329" spans="1:13" ht="12">
      <c r="A329" s="4"/>
      <c r="C329" s="15" t="s">
        <v>1</v>
      </c>
      <c r="D329" s="15" t="s">
        <v>1</v>
      </c>
      <c r="E329" s="15" t="s">
        <v>1</v>
      </c>
      <c r="F329" s="15" t="s">
        <v>1</v>
      </c>
      <c r="G329" s="15"/>
      <c r="H329" s="15"/>
      <c r="I329" s="15" t="s">
        <v>1</v>
      </c>
      <c r="J329" s="15" t="s">
        <v>1</v>
      </c>
      <c r="K329" s="15" t="s">
        <v>1</v>
      </c>
      <c r="L329" s="15" t="s">
        <v>1</v>
      </c>
      <c r="M329" s="5"/>
    </row>
    <row r="330" spans="1:13" ht="12">
      <c r="A330" s="4"/>
      <c r="I330" s="5"/>
      <c r="J330" s="5"/>
      <c r="L330" s="5"/>
      <c r="M330" s="5"/>
    </row>
    <row r="331" spans="1:13" ht="12">
      <c r="A331" s="4"/>
      <c r="C331" s="4" t="s">
        <v>184</v>
      </c>
      <c r="D331" s="146">
        <v>0</v>
      </c>
      <c r="E331" s="146">
        <v>0</v>
      </c>
      <c r="F331" s="55">
        <v>0</v>
      </c>
      <c r="G331" s="14"/>
      <c r="H331" s="14"/>
      <c r="I331" s="146">
        <v>0</v>
      </c>
      <c r="J331" s="146">
        <v>0</v>
      </c>
      <c r="K331" s="136">
        <v>0</v>
      </c>
      <c r="L331" s="5"/>
      <c r="M331" s="5"/>
    </row>
    <row r="332" spans="1:13" ht="12">
      <c r="A332" s="4"/>
      <c r="D332" s="143"/>
      <c r="E332" s="143"/>
      <c r="F332" s="61"/>
      <c r="G332" s="47"/>
      <c r="H332" s="1"/>
      <c r="I332" s="146"/>
      <c r="J332" s="146"/>
      <c r="K332" s="61"/>
      <c r="L332" s="5"/>
      <c r="M332" s="5"/>
    </row>
    <row r="333" spans="1:13" ht="12">
      <c r="A333" s="4"/>
      <c r="C333" s="4" t="s">
        <v>185</v>
      </c>
      <c r="D333" s="144">
        <v>3048.6</v>
      </c>
      <c r="E333" s="144">
        <v>86.6</v>
      </c>
      <c r="F333" s="53">
        <f>D333/E333</f>
        <v>35.20323325635104</v>
      </c>
      <c r="G333" s="14"/>
      <c r="H333" s="14"/>
      <c r="I333" s="146">
        <v>2949.13</v>
      </c>
      <c r="J333" s="146">
        <v>102.72</v>
      </c>
      <c r="K333" s="62">
        <f>I333/J333</f>
        <v>28.7103777258567</v>
      </c>
      <c r="L333" s="41"/>
      <c r="M333" s="5"/>
    </row>
    <row r="334" spans="1:13" ht="12">
      <c r="A334" s="4"/>
      <c r="D334" s="143"/>
      <c r="E334" s="143"/>
      <c r="F334" s="53"/>
      <c r="G334" s="47"/>
      <c r="H334" s="47"/>
      <c r="I334" s="146"/>
      <c r="J334" s="146"/>
      <c r="K334" s="53"/>
      <c r="L334" s="5"/>
      <c r="M334" s="5"/>
    </row>
    <row r="335" spans="1:13" ht="12">
      <c r="A335" s="4"/>
      <c r="C335" s="4" t="s">
        <v>186</v>
      </c>
      <c r="D335" s="144">
        <v>2468.5</v>
      </c>
      <c r="E335" s="144">
        <v>134.4</v>
      </c>
      <c r="F335" s="53">
        <f>D335/E335</f>
        <v>18.366815476190474</v>
      </c>
      <c r="G335" s="14"/>
      <c r="H335" s="14"/>
      <c r="I335" s="146">
        <v>2521.97</v>
      </c>
      <c r="J335" s="146">
        <v>151.29</v>
      </c>
      <c r="K335" s="62">
        <f>I335/J335</f>
        <v>16.669773283098685</v>
      </c>
      <c r="L335" s="41"/>
      <c r="M335" s="5"/>
    </row>
    <row r="336" spans="1:13" ht="12">
      <c r="A336" s="4"/>
      <c r="D336" s="143"/>
      <c r="E336" s="143"/>
      <c r="F336" s="53"/>
      <c r="G336" s="47"/>
      <c r="H336" s="47"/>
      <c r="I336" s="146"/>
      <c r="J336" s="146"/>
      <c r="K336" s="53"/>
      <c r="L336" s="5"/>
      <c r="M336" s="5"/>
    </row>
    <row r="337" spans="1:13" ht="12">
      <c r="A337" s="4"/>
      <c r="C337" s="4" t="s">
        <v>187</v>
      </c>
      <c r="D337" s="144">
        <f>SUM(D331:D335)</f>
        <v>5517.1</v>
      </c>
      <c r="E337" s="144">
        <f>SUM(E331:E335)</f>
        <v>221</v>
      </c>
      <c r="F337" s="53">
        <f>D337/E337</f>
        <v>24.96425339366516</v>
      </c>
      <c r="G337" s="64"/>
      <c r="H337" s="64"/>
      <c r="I337" s="146">
        <f>SUM(I331:I335)</f>
        <v>5471.1</v>
      </c>
      <c r="J337" s="146">
        <f>SUM(J331:J335)</f>
        <v>254.01</v>
      </c>
      <c r="K337" s="62">
        <f>I337/J337</f>
        <v>21.538915790716903</v>
      </c>
      <c r="L337" s="63"/>
      <c r="M337" s="101"/>
    </row>
    <row r="338" spans="1:13" ht="12">
      <c r="A338" s="4"/>
      <c r="D338" s="47"/>
      <c r="E338" s="47"/>
      <c r="F338" s="54"/>
      <c r="G338" s="47"/>
      <c r="H338" s="47"/>
      <c r="I338" s="54"/>
      <c r="J338" s="54"/>
      <c r="K338" s="54"/>
      <c r="L338" s="5"/>
      <c r="M338" s="5"/>
    </row>
    <row r="339" spans="1:13" ht="12">
      <c r="A339" s="4"/>
      <c r="D339" s="47"/>
      <c r="E339" s="47"/>
      <c r="F339" s="54"/>
      <c r="G339" s="47"/>
      <c r="H339" s="47"/>
      <c r="I339" s="54"/>
      <c r="J339" s="54"/>
      <c r="K339" s="54"/>
      <c r="L339" s="5"/>
      <c r="M339" s="5"/>
    </row>
    <row r="340" spans="1:13" ht="12">
      <c r="A340" s="4"/>
      <c r="C340" s="4" t="s">
        <v>188</v>
      </c>
      <c r="D340" s="144">
        <v>638.3</v>
      </c>
      <c r="E340" s="144">
        <v>77.6</v>
      </c>
      <c r="F340" s="53">
        <f>D340/E340</f>
        <v>8.225515463917526</v>
      </c>
      <c r="G340" s="14"/>
      <c r="H340" s="14"/>
      <c r="I340" s="146">
        <v>609.22</v>
      </c>
      <c r="J340" s="146">
        <v>79.59</v>
      </c>
      <c r="K340" s="62">
        <f aca="true" t="shared" si="6" ref="K340:K346">I340/J340</f>
        <v>7.654479205930393</v>
      </c>
      <c r="L340" s="41"/>
      <c r="M340" s="5"/>
    </row>
    <row r="341" spans="1:13" ht="12">
      <c r="A341" s="4"/>
      <c r="D341" s="145"/>
      <c r="E341" s="53"/>
      <c r="F341" s="53"/>
      <c r="G341" s="47"/>
      <c r="H341" s="47"/>
      <c r="I341" s="146"/>
      <c r="J341" s="146"/>
      <c r="K341" s="62"/>
      <c r="L341" s="5"/>
      <c r="M341" s="5"/>
    </row>
    <row r="342" spans="1:13" ht="12">
      <c r="A342" s="4"/>
      <c r="B342" s="4" t="s">
        <v>0</v>
      </c>
      <c r="C342" s="4" t="s">
        <v>189</v>
      </c>
      <c r="D342" s="144">
        <v>46.8</v>
      </c>
      <c r="E342" s="144">
        <v>7.5</v>
      </c>
      <c r="F342" s="53">
        <f>D342/E342</f>
        <v>6.239999999999999</v>
      </c>
      <c r="G342" s="14"/>
      <c r="H342" s="14"/>
      <c r="I342" s="146">
        <v>51.25</v>
      </c>
      <c r="J342" s="146">
        <v>9.03</v>
      </c>
      <c r="K342" s="62">
        <f t="shared" si="6"/>
        <v>5.675526024363234</v>
      </c>
      <c r="L342" s="41"/>
      <c r="M342" s="5"/>
    </row>
    <row r="343" spans="1:13" ht="12">
      <c r="A343" s="4"/>
      <c r="D343" s="145"/>
      <c r="E343" s="53"/>
      <c r="F343" s="53"/>
      <c r="G343" s="47"/>
      <c r="H343" s="47"/>
      <c r="I343" s="146"/>
      <c r="J343" s="146"/>
      <c r="K343" s="62"/>
      <c r="L343" s="5"/>
      <c r="M343" s="5"/>
    </row>
    <row r="344" spans="1:13" ht="12">
      <c r="A344" s="4"/>
      <c r="C344" s="4" t="s">
        <v>190</v>
      </c>
      <c r="D344" s="144">
        <f>+D340+D342</f>
        <v>685.0999999999999</v>
      </c>
      <c r="E344" s="144">
        <f>+E340+E342</f>
        <v>85.1</v>
      </c>
      <c r="F344" s="53">
        <f>D344/E344</f>
        <v>8.050528789659223</v>
      </c>
      <c r="G344" s="64"/>
      <c r="H344" s="64"/>
      <c r="I344" s="146">
        <f>SUM(I340:I342)</f>
        <v>660.47</v>
      </c>
      <c r="J344" s="146">
        <f>SUM(J340:J342)</f>
        <v>88.62</v>
      </c>
      <c r="K344" s="62">
        <f t="shared" si="6"/>
        <v>7.452832317761228</v>
      </c>
      <c r="L344" s="41"/>
      <c r="M344" s="5"/>
    </row>
    <row r="345" spans="1:13" ht="12">
      <c r="A345" s="4"/>
      <c r="D345" s="145"/>
      <c r="E345" s="53"/>
      <c r="F345" s="53"/>
      <c r="G345" s="47"/>
      <c r="H345" s="47"/>
      <c r="I345" s="146"/>
      <c r="J345" s="146"/>
      <c r="K345" s="62"/>
      <c r="L345" s="5"/>
      <c r="M345" s="5"/>
    </row>
    <row r="346" spans="1:13" ht="12">
      <c r="A346" s="4"/>
      <c r="C346" s="4" t="s">
        <v>191</v>
      </c>
      <c r="D346" s="144">
        <f>SUM(D337,D344)</f>
        <v>6202.200000000001</v>
      </c>
      <c r="E346" s="144">
        <f>SUM(E337,E344)</f>
        <v>306.1</v>
      </c>
      <c r="F346" s="53">
        <f>D346/E346</f>
        <v>20.262005880431232</v>
      </c>
      <c r="G346" s="64"/>
      <c r="H346" s="64"/>
      <c r="I346" s="146">
        <f>SUM(I337,I344)</f>
        <v>6131.570000000001</v>
      </c>
      <c r="J346" s="146">
        <f>SUM(J337,J344)</f>
        <v>342.63</v>
      </c>
      <c r="K346" s="62">
        <f t="shared" si="6"/>
        <v>17.89560166943934</v>
      </c>
      <c r="L346" s="41"/>
      <c r="M346" s="5"/>
    </row>
    <row r="347" spans="1:13" ht="12">
      <c r="A347" s="4"/>
      <c r="I347" s="5"/>
      <c r="J347" s="5"/>
      <c r="L347" s="5"/>
      <c r="M347" s="5"/>
    </row>
    <row r="348" spans="1:13" ht="12">
      <c r="A348" s="4"/>
      <c r="I348" s="5"/>
      <c r="J348" s="5"/>
      <c r="L348" s="5"/>
      <c r="M348" s="5"/>
    </row>
    <row r="349" spans="1:13" ht="12">
      <c r="A349" s="4"/>
      <c r="I349" s="5"/>
      <c r="J349" s="5"/>
      <c r="L349" s="5"/>
      <c r="M349" s="5"/>
    </row>
    <row r="350" spans="1:13" ht="12">
      <c r="A350" s="4"/>
      <c r="I350" s="5"/>
      <c r="J350" s="5"/>
      <c r="L350" s="5"/>
      <c r="M350" s="5"/>
    </row>
    <row r="351" spans="1:13" ht="12">
      <c r="A351" s="4"/>
      <c r="C351" s="4" t="s">
        <v>192</v>
      </c>
      <c r="I351" s="5"/>
      <c r="J351" s="5"/>
      <c r="L351" s="5"/>
      <c r="M351" s="5"/>
    </row>
    <row r="352" spans="1:13" ht="12">
      <c r="A352" s="4"/>
      <c r="C352" s="4" t="s">
        <v>193</v>
      </c>
      <c r="I352" s="5"/>
      <c r="J352" s="5"/>
      <c r="L352" s="5"/>
      <c r="M352" s="5"/>
    </row>
    <row r="353" spans="1:13" ht="12">
      <c r="A353" s="4"/>
      <c r="J353" s="25"/>
      <c r="M353" s="25"/>
    </row>
    <row r="354" spans="1:13" ht="12">
      <c r="A354" s="4"/>
      <c r="J354" s="25"/>
      <c r="M354" s="25"/>
    </row>
    <row r="355" spans="1:13" ht="12">
      <c r="A355" s="4"/>
      <c r="J355" s="25"/>
      <c r="M355" s="25"/>
    </row>
    <row r="356" spans="1:13" ht="12">
      <c r="A356" s="4"/>
      <c r="J356" s="25"/>
      <c r="M356" s="25"/>
    </row>
    <row r="357" spans="1:13" ht="12">
      <c r="A357" s="4"/>
      <c r="J357" s="25"/>
      <c r="M357" s="25"/>
    </row>
    <row r="358" spans="1:13" ht="12">
      <c r="A358" s="4"/>
      <c r="J358" s="25"/>
      <c r="M358" s="25"/>
    </row>
    <row r="359" spans="1:13" ht="12">
      <c r="A359" s="4"/>
      <c r="J359" s="25"/>
      <c r="M359" s="25"/>
    </row>
    <row r="360" spans="1:13" ht="12">
      <c r="A360" s="4"/>
      <c r="J360" s="25"/>
      <c r="M360" s="25"/>
    </row>
    <row r="361" spans="1:13" ht="12">
      <c r="A361" s="4"/>
      <c r="J361" s="25"/>
      <c r="M361" s="25"/>
    </row>
    <row r="362" spans="1:13" ht="12">
      <c r="A362" s="4"/>
      <c r="J362" s="25"/>
      <c r="M362" s="25"/>
    </row>
    <row r="363" spans="1:13" ht="12">
      <c r="A363" s="4"/>
      <c r="J363" s="25"/>
      <c r="M363" s="25"/>
    </row>
    <row r="364" spans="1:13" ht="12">
      <c r="A364" s="4"/>
      <c r="J364" s="25"/>
      <c r="M364" s="25"/>
    </row>
    <row r="365" spans="1:13" ht="12">
      <c r="A365" s="4"/>
      <c r="J365" s="25"/>
      <c r="M365" s="25"/>
    </row>
    <row r="366" spans="1:13" ht="12">
      <c r="A366" s="4"/>
      <c r="J366" s="25"/>
      <c r="M366" s="25"/>
    </row>
    <row r="367" spans="1:13" ht="12">
      <c r="A367" s="4"/>
      <c r="J367" s="25"/>
      <c r="M367" s="25"/>
    </row>
    <row r="368" spans="1:13" ht="12">
      <c r="A368" s="4"/>
      <c r="J368" s="25"/>
      <c r="M368" s="25"/>
    </row>
    <row r="369" spans="1:13" ht="12">
      <c r="A369" s="4"/>
      <c r="J369" s="25"/>
      <c r="M369" s="25"/>
    </row>
    <row r="370" spans="1:13" s="21" customFormat="1" ht="12">
      <c r="A370" s="70" t="str">
        <f>$A$82</f>
        <v>Institution No.:  GFC</v>
      </c>
      <c r="E370" s="20"/>
      <c r="I370" s="22"/>
      <c r="J370" s="23"/>
      <c r="L370" s="22"/>
      <c r="M370" s="69" t="s">
        <v>60</v>
      </c>
    </row>
    <row r="371" spans="5:13" s="21" customFormat="1" ht="12">
      <c r="E371" s="20" t="s">
        <v>236</v>
      </c>
      <c r="I371" s="22"/>
      <c r="J371" s="23"/>
      <c r="L371" s="22"/>
      <c r="M371" s="23"/>
    </row>
    <row r="372" spans="1:13" ht="12">
      <c r="A372" s="70" t="str">
        <f>$A$42</f>
        <v>NAME: UNIVERSITY OF COLORADO AT COLORADO SPRINGS</v>
      </c>
      <c r="F372" s="7"/>
      <c r="G372" s="7"/>
      <c r="H372" s="7"/>
      <c r="I372" s="102"/>
      <c r="J372" s="103"/>
      <c r="L372" s="6"/>
      <c r="M372" s="72" t="str">
        <f>$M$3</f>
        <v>Date: 10/1/2007</v>
      </c>
    </row>
    <row r="373" spans="1:13" ht="12">
      <c r="A373" s="15" t="s">
        <v>1</v>
      </c>
      <c r="B373" s="15" t="s">
        <v>1</v>
      </c>
      <c r="C373" s="15" t="s">
        <v>1</v>
      </c>
      <c r="D373" s="15" t="s">
        <v>1</v>
      </c>
      <c r="E373" s="15" t="s">
        <v>1</v>
      </c>
      <c r="F373" s="15" t="s">
        <v>1</v>
      </c>
      <c r="G373" s="15"/>
      <c r="H373" s="15"/>
      <c r="I373" s="16" t="s">
        <v>1</v>
      </c>
      <c r="J373" s="19" t="s">
        <v>1</v>
      </c>
      <c r="K373" s="15" t="s">
        <v>1</v>
      </c>
      <c r="L373" s="16" t="s">
        <v>1</v>
      </c>
      <c r="M373" s="19" t="s">
        <v>1</v>
      </c>
    </row>
    <row r="374" spans="1:13" ht="12">
      <c r="A374" s="73" t="s">
        <v>2</v>
      </c>
      <c r="E374" s="73" t="s">
        <v>2</v>
      </c>
      <c r="F374" s="1"/>
      <c r="G374" s="2"/>
      <c r="H374" s="1" t="s">
        <v>172</v>
      </c>
      <c r="I374" s="2"/>
      <c r="J374" s="3" t="s">
        <v>280</v>
      </c>
      <c r="K374" s="1"/>
      <c r="L374" s="2"/>
      <c r="M374" s="3" t="s">
        <v>289</v>
      </c>
    </row>
    <row r="375" spans="1:13" ht="12">
      <c r="A375" s="73" t="s">
        <v>4</v>
      </c>
      <c r="C375" s="74" t="s">
        <v>20</v>
      </c>
      <c r="E375" s="73" t="s">
        <v>4</v>
      </c>
      <c r="F375" s="1"/>
      <c r="G375" s="2" t="s">
        <v>6</v>
      </c>
      <c r="H375" s="1" t="s">
        <v>7</v>
      </c>
      <c r="I375" s="2" t="s">
        <v>6</v>
      </c>
      <c r="J375" s="3" t="s">
        <v>7</v>
      </c>
      <c r="K375" s="1"/>
      <c r="L375" s="2" t="s">
        <v>6</v>
      </c>
      <c r="M375" s="3" t="s">
        <v>8</v>
      </c>
    </row>
    <row r="376" spans="1:13" ht="12">
      <c r="A376" s="15" t="s">
        <v>1</v>
      </c>
      <c r="B376" s="15" t="s">
        <v>1</v>
      </c>
      <c r="C376" s="15" t="s">
        <v>1</v>
      </c>
      <c r="D376" s="15" t="s">
        <v>1</v>
      </c>
      <c r="E376" s="15" t="s">
        <v>1</v>
      </c>
      <c r="F376" s="15" t="s">
        <v>1</v>
      </c>
      <c r="G376" s="15"/>
      <c r="H376" s="15"/>
      <c r="I376" s="16" t="s">
        <v>1</v>
      </c>
      <c r="J376" s="19" t="s">
        <v>1</v>
      </c>
      <c r="K376" s="15" t="s">
        <v>1</v>
      </c>
      <c r="L376" s="16" t="s">
        <v>1</v>
      </c>
      <c r="M376" s="19" t="s">
        <v>1</v>
      </c>
    </row>
    <row r="377" spans="1:13" ht="12">
      <c r="A377" s="41">
        <v>1</v>
      </c>
      <c r="C377" s="4" t="s">
        <v>61</v>
      </c>
      <c r="E377" s="41">
        <v>1</v>
      </c>
      <c r="I377" s="149"/>
      <c r="J377" s="25"/>
      <c r="L377" s="6"/>
      <c r="M377" s="25"/>
    </row>
    <row r="378" spans="1:13" ht="12">
      <c r="A378" s="41">
        <f>(A377+1)</f>
        <v>2</v>
      </c>
      <c r="C378" s="4" t="s">
        <v>62</v>
      </c>
      <c r="D378" s="4" t="s">
        <v>63</v>
      </c>
      <c r="E378" s="41">
        <f>(E377+1)</f>
        <v>2</v>
      </c>
      <c r="F378" s="151"/>
      <c r="G378" s="147">
        <v>151</v>
      </c>
      <c r="H378" s="32">
        <v>1145642</v>
      </c>
      <c r="I378" s="148">
        <v>125.37</v>
      </c>
      <c r="J378" s="32">
        <v>1246093</v>
      </c>
      <c r="K378" s="32"/>
      <c r="L378" s="148">
        <v>139.86</v>
      </c>
      <c r="M378" s="32">
        <v>1218234</v>
      </c>
    </row>
    <row r="379" spans="1:13" ht="12">
      <c r="A379" s="41">
        <f>(A378+1)</f>
        <v>3</v>
      </c>
      <c r="D379" s="4" t="s">
        <v>64</v>
      </c>
      <c r="E379" s="41">
        <f>(E378+1)</f>
        <v>3</v>
      </c>
      <c r="F379" s="151"/>
      <c r="G379" s="147">
        <v>361.6</v>
      </c>
      <c r="H379" s="32">
        <v>2196373</v>
      </c>
      <c r="I379" s="148">
        <v>368.66</v>
      </c>
      <c r="J379" s="32">
        <v>3066267</v>
      </c>
      <c r="K379" s="32"/>
      <c r="L379" s="148">
        <v>371.9</v>
      </c>
      <c r="M379" s="32">
        <f>2134674+958490</f>
        <v>3093164</v>
      </c>
    </row>
    <row r="380" spans="1:13" ht="12">
      <c r="A380" s="41">
        <v>4</v>
      </c>
      <c r="C380" s="4" t="s">
        <v>65</v>
      </c>
      <c r="D380" s="4" t="s">
        <v>63</v>
      </c>
      <c r="E380" s="41">
        <v>4</v>
      </c>
      <c r="F380" s="151"/>
      <c r="G380" s="147">
        <v>5.2</v>
      </c>
      <c r="H380" s="32">
        <v>141621</v>
      </c>
      <c r="I380" s="148">
        <v>6.75</v>
      </c>
      <c r="J380" s="32">
        <v>209748</v>
      </c>
      <c r="K380" s="32"/>
      <c r="L380" s="148">
        <v>6.01</v>
      </c>
      <c r="M380" s="32">
        <v>179100</v>
      </c>
    </row>
    <row r="381" spans="1:13" ht="12">
      <c r="A381" s="41">
        <f>(A380+1)</f>
        <v>5</v>
      </c>
      <c r="D381" s="4" t="s">
        <v>64</v>
      </c>
      <c r="E381" s="41">
        <f>(E380+1)</f>
        <v>5</v>
      </c>
      <c r="F381" s="151"/>
      <c r="G381" s="147">
        <v>16.7</v>
      </c>
      <c r="H381" s="32">
        <v>285790</v>
      </c>
      <c r="I381" s="148">
        <v>13.53</v>
      </c>
      <c r="J381" s="32">
        <f>363895+38965</f>
        <v>402860</v>
      </c>
      <c r="K381" s="32"/>
      <c r="L381" s="148">
        <v>12.92</v>
      </c>
      <c r="M381" s="32">
        <v>307013</v>
      </c>
    </row>
    <row r="382" spans="1:13" ht="12">
      <c r="A382" s="41">
        <f>(A381+1)</f>
        <v>6</v>
      </c>
      <c r="C382" s="4" t="s">
        <v>66</v>
      </c>
      <c r="E382" s="41">
        <f>(E381+1)</f>
        <v>6</v>
      </c>
      <c r="F382" s="152"/>
      <c r="G382" s="143">
        <f>SUM(G377:G381)</f>
        <v>534.5000000000001</v>
      </c>
      <c r="H382" s="33">
        <f>SUM(H377:H381)</f>
        <v>3769426</v>
      </c>
      <c r="I382" s="141">
        <f>SUM(I377:I381)</f>
        <v>514.3100000000001</v>
      </c>
      <c r="J382" s="33">
        <f>SUM(J377:J381)</f>
        <v>4924968</v>
      </c>
      <c r="K382" s="33"/>
      <c r="L382" s="141">
        <f>SUM(L377:L381)</f>
        <v>530.6899999999999</v>
      </c>
      <c r="M382" s="33">
        <f>SUM(M377:M381)</f>
        <v>4797511</v>
      </c>
    </row>
    <row r="383" spans="1:13" ht="12">
      <c r="A383" s="41">
        <f>(A382+1)</f>
        <v>7</v>
      </c>
      <c r="C383" s="4" t="s">
        <v>67</v>
      </c>
      <c r="E383" s="41">
        <f>(E382+1)</f>
        <v>7</v>
      </c>
      <c r="F383" s="152"/>
      <c r="G383" s="143"/>
      <c r="H383" s="33"/>
      <c r="I383" s="142"/>
      <c r="J383" s="34"/>
      <c r="K383" s="33"/>
      <c r="L383" s="142"/>
      <c r="M383" s="34"/>
    </row>
    <row r="384" spans="1:13" ht="12">
      <c r="A384" s="41">
        <f>(A383+1)</f>
        <v>8</v>
      </c>
      <c r="C384" s="4" t="s">
        <v>62</v>
      </c>
      <c r="D384" s="4" t="s">
        <v>63</v>
      </c>
      <c r="E384" s="41">
        <f>(E383+1)</f>
        <v>8</v>
      </c>
      <c r="F384" s="151"/>
      <c r="G384" s="147">
        <v>267.7</v>
      </c>
      <c r="H384" s="32">
        <v>2370433</v>
      </c>
      <c r="I384" s="148">
        <v>268.38</v>
      </c>
      <c r="J384" s="32">
        <v>2545472</v>
      </c>
      <c r="K384" s="32"/>
      <c r="L384" s="148">
        <v>272.63</v>
      </c>
      <c r="M384" s="32">
        <v>2759372</v>
      </c>
    </row>
    <row r="385" spans="1:13" ht="12">
      <c r="A385" s="41">
        <v>9</v>
      </c>
      <c r="D385" s="4" t="s">
        <v>64</v>
      </c>
      <c r="E385" s="41">
        <v>9</v>
      </c>
      <c r="F385" s="151"/>
      <c r="G385" s="147">
        <v>2437.2</v>
      </c>
      <c r="H385" s="32">
        <v>17677890</v>
      </c>
      <c r="I385" s="148">
        <v>2442.03</v>
      </c>
      <c r="J385" s="32">
        <v>17745468</v>
      </c>
      <c r="K385" s="32"/>
      <c r="L385" s="148">
        <v>2494.55</v>
      </c>
      <c r="M385" s="32">
        <f>12989642+6504039</f>
        <v>19493681</v>
      </c>
    </row>
    <row r="386" spans="1:13" ht="12">
      <c r="A386" s="41">
        <v>10</v>
      </c>
      <c r="C386" s="4" t="s">
        <v>65</v>
      </c>
      <c r="D386" s="4" t="s">
        <v>63</v>
      </c>
      <c r="E386" s="41">
        <v>10</v>
      </c>
      <c r="F386" s="151"/>
      <c r="G386" s="147">
        <v>19.4</v>
      </c>
      <c r="H386" s="32">
        <v>436997</v>
      </c>
      <c r="I386" s="148">
        <v>22.57</v>
      </c>
      <c r="J386" s="32">
        <v>536862</v>
      </c>
      <c r="K386" s="32"/>
      <c r="L386" s="148">
        <v>21.33</v>
      </c>
      <c r="M386" s="32">
        <v>555300</v>
      </c>
    </row>
    <row r="387" spans="1:13" ht="12">
      <c r="A387" s="41">
        <f>(A386+1)</f>
        <v>11</v>
      </c>
      <c r="D387" s="4" t="s">
        <v>64</v>
      </c>
      <c r="E387" s="41">
        <f>(E386+1)</f>
        <v>11</v>
      </c>
      <c r="F387" s="151"/>
      <c r="G387" s="147">
        <v>165</v>
      </c>
      <c r="H387" s="32">
        <v>1930800</v>
      </c>
      <c r="I387" s="148">
        <v>133.4</v>
      </c>
      <c r="J387" s="32">
        <f>2240171+539004</f>
        <v>2779175</v>
      </c>
      <c r="K387" s="32"/>
      <c r="L387" s="148">
        <v>124.49</v>
      </c>
      <c r="M387" s="32">
        <v>2527210</v>
      </c>
    </row>
    <row r="388" spans="1:13" ht="12">
      <c r="A388" s="41">
        <f>(A387+1)</f>
        <v>12</v>
      </c>
      <c r="C388" s="4" t="s">
        <v>68</v>
      </c>
      <c r="E388" s="41">
        <f>(E387+1)</f>
        <v>12</v>
      </c>
      <c r="F388" s="152"/>
      <c r="G388" s="143">
        <f>SUM(G384:G387)</f>
        <v>2889.2999999999997</v>
      </c>
      <c r="H388" s="33">
        <f>SUM(H384:H387)</f>
        <v>22416120</v>
      </c>
      <c r="I388" s="141">
        <f>SUM(I384:I387)</f>
        <v>2866.3800000000006</v>
      </c>
      <c r="J388" s="33">
        <f>SUM(J384:J387)</f>
        <v>23606977</v>
      </c>
      <c r="K388" s="33"/>
      <c r="L388" s="141">
        <f>SUM(L384:L387)</f>
        <v>2913</v>
      </c>
      <c r="M388" s="33">
        <f>SUM(M384:M387)</f>
        <v>25335563</v>
      </c>
    </row>
    <row r="389" spans="1:13" ht="12">
      <c r="A389" s="41">
        <f>(A388+1)</f>
        <v>13</v>
      </c>
      <c r="C389" s="4" t="s">
        <v>69</v>
      </c>
      <c r="E389" s="41">
        <f>(E388+1)</f>
        <v>13</v>
      </c>
      <c r="F389" s="152"/>
      <c r="G389" s="143"/>
      <c r="H389" s="154"/>
      <c r="I389" s="142"/>
      <c r="J389" s="34"/>
      <c r="K389" s="33"/>
      <c r="L389" s="142"/>
      <c r="M389" s="34"/>
    </row>
    <row r="390" spans="1:13" ht="12">
      <c r="A390" s="41">
        <f>(A389+1)</f>
        <v>14</v>
      </c>
      <c r="C390" s="4" t="s">
        <v>62</v>
      </c>
      <c r="D390" s="4" t="s">
        <v>63</v>
      </c>
      <c r="E390" s="41">
        <f>(E389+1)</f>
        <v>14</v>
      </c>
      <c r="F390" s="151"/>
      <c r="G390" s="147">
        <v>0</v>
      </c>
      <c r="H390" s="155">
        <v>0</v>
      </c>
      <c r="I390" s="148">
        <v>0</v>
      </c>
      <c r="J390" s="155">
        <v>0</v>
      </c>
      <c r="K390" s="32"/>
      <c r="L390" s="148">
        <v>0</v>
      </c>
      <c r="M390" s="156">
        <v>0</v>
      </c>
    </row>
    <row r="391" spans="1:13" ht="12">
      <c r="A391" s="41">
        <v>15</v>
      </c>
      <c r="C391" s="4"/>
      <c r="D391" s="4" t="s">
        <v>220</v>
      </c>
      <c r="E391" s="41">
        <v>15</v>
      </c>
      <c r="F391" s="151"/>
      <c r="G391" s="147">
        <v>0</v>
      </c>
      <c r="H391" s="155">
        <v>0</v>
      </c>
      <c r="I391" s="148">
        <v>0</v>
      </c>
      <c r="J391" s="155">
        <v>0</v>
      </c>
      <c r="K391" s="32"/>
      <c r="L391" s="148">
        <v>0</v>
      </c>
      <c r="M391" s="156">
        <v>0</v>
      </c>
    </row>
    <row r="392" spans="1:13" ht="12">
      <c r="A392" s="41">
        <v>16</v>
      </c>
      <c r="C392" s="4" t="s">
        <v>65</v>
      </c>
      <c r="D392" s="4" t="s">
        <v>63</v>
      </c>
      <c r="E392" s="41">
        <v>16</v>
      </c>
      <c r="F392" s="151"/>
      <c r="G392" s="147">
        <v>0</v>
      </c>
      <c r="H392" s="155">
        <v>0</v>
      </c>
      <c r="I392" s="148">
        <v>0</v>
      </c>
      <c r="J392" s="155">
        <v>0</v>
      </c>
      <c r="K392" s="32"/>
      <c r="L392" s="148">
        <v>0</v>
      </c>
      <c r="M392" s="156">
        <v>0</v>
      </c>
    </row>
    <row r="393" spans="1:13" ht="12">
      <c r="A393" s="41">
        <v>17</v>
      </c>
      <c r="C393" s="4"/>
      <c r="D393" s="4" t="s">
        <v>64</v>
      </c>
      <c r="E393" s="41">
        <v>17</v>
      </c>
      <c r="F393" s="152"/>
      <c r="G393" s="143">
        <v>0</v>
      </c>
      <c r="H393" s="154">
        <v>0</v>
      </c>
      <c r="I393" s="141">
        <v>0</v>
      </c>
      <c r="J393" s="154">
        <v>0</v>
      </c>
      <c r="K393" s="33"/>
      <c r="L393" s="141">
        <v>0</v>
      </c>
      <c r="M393" s="157">
        <v>0</v>
      </c>
    </row>
    <row r="394" spans="1:13" ht="12">
      <c r="A394" s="41">
        <v>18</v>
      </c>
      <c r="C394" s="4" t="s">
        <v>70</v>
      </c>
      <c r="D394" s="4"/>
      <c r="E394" s="41">
        <v>18</v>
      </c>
      <c r="F394" s="152"/>
      <c r="G394" s="143">
        <f>SUM(G390:G393)</f>
        <v>0</v>
      </c>
      <c r="H394" s="154">
        <f>SUM(H390:H393)</f>
        <v>0</v>
      </c>
      <c r="I394" s="141">
        <v>0</v>
      </c>
      <c r="J394" s="154">
        <f>SUM(J390:J393)</f>
        <v>0</v>
      </c>
      <c r="K394" s="33"/>
      <c r="L394" s="141">
        <v>0</v>
      </c>
      <c r="M394" s="157">
        <f>SUM(M390:M393)</f>
        <v>0</v>
      </c>
    </row>
    <row r="395" spans="1:13" ht="12">
      <c r="A395" s="41">
        <v>19</v>
      </c>
      <c r="C395" s="4" t="s">
        <v>71</v>
      </c>
      <c r="D395" s="4"/>
      <c r="E395" s="41">
        <v>19</v>
      </c>
      <c r="F395" s="152"/>
      <c r="G395" s="143"/>
      <c r="H395" s="154"/>
      <c r="I395" s="141"/>
      <c r="J395" s="33"/>
      <c r="K395" s="33"/>
      <c r="L395" s="141"/>
      <c r="M395" s="33"/>
    </row>
    <row r="396" spans="1:13" ht="12">
      <c r="A396" s="41">
        <v>20</v>
      </c>
      <c r="C396" s="4" t="s">
        <v>62</v>
      </c>
      <c r="D396" s="4" t="s">
        <v>63</v>
      </c>
      <c r="E396" s="41">
        <v>20</v>
      </c>
      <c r="F396" s="151"/>
      <c r="G396" s="147">
        <v>269.5</v>
      </c>
      <c r="H396" s="32">
        <v>2400506</v>
      </c>
      <c r="I396" s="148">
        <v>268.61</v>
      </c>
      <c r="J396" s="32">
        <v>2517884</v>
      </c>
      <c r="K396" s="32"/>
      <c r="L396" s="148">
        <v>273.63</v>
      </c>
      <c r="M396" s="32">
        <v>2716282</v>
      </c>
    </row>
    <row r="397" spans="1:13" ht="12">
      <c r="A397" s="41">
        <v>21</v>
      </c>
      <c r="C397" s="4"/>
      <c r="D397" s="4" t="s">
        <v>220</v>
      </c>
      <c r="E397" s="41">
        <v>21</v>
      </c>
      <c r="F397" s="151"/>
      <c r="G397" s="147">
        <v>2335</v>
      </c>
      <c r="H397" s="32">
        <v>17124025</v>
      </c>
      <c r="I397" s="148">
        <v>2341.87</v>
      </c>
      <c r="J397" s="32">
        <f>17069240+96762</f>
        <v>17166002</v>
      </c>
      <c r="K397" s="32"/>
      <c r="L397" s="148">
        <v>2389.29</v>
      </c>
      <c r="M397" s="32">
        <f>12499360+6230184</f>
        <v>18729544</v>
      </c>
    </row>
    <row r="398" spans="1:13" ht="12">
      <c r="A398" s="41">
        <v>22</v>
      </c>
      <c r="C398" s="4" t="s">
        <v>65</v>
      </c>
      <c r="D398" s="4" t="s">
        <v>63</v>
      </c>
      <c r="E398" s="41">
        <v>22</v>
      </c>
      <c r="F398" s="151"/>
      <c r="G398" s="147">
        <v>18.2</v>
      </c>
      <c r="H398" s="32">
        <v>450608</v>
      </c>
      <c r="I398" s="148">
        <v>17.85</v>
      </c>
      <c r="J398" s="32">
        <v>420417</v>
      </c>
      <c r="K398" s="32"/>
      <c r="L398" s="148">
        <v>18.3</v>
      </c>
      <c r="M398" s="32">
        <v>453420</v>
      </c>
    </row>
    <row r="399" spans="1:13" ht="12">
      <c r="A399" s="41">
        <v>23</v>
      </c>
      <c r="D399" s="4" t="s">
        <v>64</v>
      </c>
      <c r="E399" s="41">
        <v>23</v>
      </c>
      <c r="F399" s="151"/>
      <c r="G399" s="147">
        <v>155.5</v>
      </c>
      <c r="H399" s="32">
        <v>1843357</v>
      </c>
      <c r="I399" s="148">
        <v>130.54</v>
      </c>
      <c r="J399" s="32">
        <f>2212831+552287</f>
        <v>2765118</v>
      </c>
      <c r="K399" s="32"/>
      <c r="L399" s="148">
        <v>121.09</v>
      </c>
      <c r="M399" s="32">
        <v>2548992</v>
      </c>
    </row>
    <row r="400" spans="1:13" ht="12">
      <c r="A400" s="41">
        <v>24</v>
      </c>
      <c r="C400" s="4" t="s">
        <v>72</v>
      </c>
      <c r="E400" s="41">
        <v>24</v>
      </c>
      <c r="F400" s="153"/>
      <c r="G400" s="144">
        <f>SUM(G396:G399)</f>
        <v>2778.2</v>
      </c>
      <c r="H400" s="34">
        <f>SUM(H396:H399)</f>
        <v>21818496</v>
      </c>
      <c r="I400" s="142">
        <f>SUM(I396:I399)</f>
        <v>2758.87</v>
      </c>
      <c r="J400" s="34">
        <f>SUM(J396:J399)</f>
        <v>22869421</v>
      </c>
      <c r="K400" s="34"/>
      <c r="L400" s="142">
        <f>SUM(L396:L399)</f>
        <v>2802.3100000000004</v>
      </c>
      <c r="M400" s="34">
        <f>SUM(M396:M399)</f>
        <v>24448238</v>
      </c>
    </row>
    <row r="401" spans="1:13" ht="12">
      <c r="A401" s="41">
        <v>25</v>
      </c>
      <c r="C401" s="4" t="s">
        <v>73</v>
      </c>
      <c r="E401" s="41">
        <v>25</v>
      </c>
      <c r="F401" s="152"/>
      <c r="G401" s="143"/>
      <c r="H401" s="33"/>
      <c r="I401" s="141"/>
      <c r="J401" s="33"/>
      <c r="K401" s="33"/>
      <c r="L401" s="141"/>
      <c r="M401" s="33"/>
    </row>
    <row r="402" spans="1:13" ht="12">
      <c r="A402" s="41">
        <v>26</v>
      </c>
      <c r="C402" s="4" t="s">
        <v>62</v>
      </c>
      <c r="D402" s="4" t="s">
        <v>63</v>
      </c>
      <c r="E402" s="41">
        <v>26</v>
      </c>
      <c r="F402" s="152"/>
      <c r="G402" s="143">
        <f aca="true" t="shared" si="7" ref="G402:J405">G378+G384+G390+G396</f>
        <v>688.2</v>
      </c>
      <c r="H402" s="33">
        <f t="shared" si="7"/>
        <v>5916581</v>
      </c>
      <c r="I402" s="141">
        <f t="shared" si="7"/>
        <v>662.36</v>
      </c>
      <c r="J402" s="33">
        <f t="shared" si="7"/>
        <v>6309449</v>
      </c>
      <c r="K402" s="33"/>
      <c r="L402" s="141">
        <f aca="true" t="shared" si="8" ref="L402:M405">L378+L384+L390+L396</f>
        <v>686.12</v>
      </c>
      <c r="M402" s="33">
        <f t="shared" si="8"/>
        <v>6693888</v>
      </c>
    </row>
    <row r="403" spans="1:13" ht="12">
      <c r="A403" s="41">
        <v>27</v>
      </c>
      <c r="C403" s="4"/>
      <c r="D403" s="4" t="s">
        <v>220</v>
      </c>
      <c r="E403" s="41">
        <v>27</v>
      </c>
      <c r="F403" s="152"/>
      <c r="G403" s="143">
        <f>G379+G385+G391+G397</f>
        <v>5133.799999999999</v>
      </c>
      <c r="H403" s="33">
        <f t="shared" si="7"/>
        <v>36998288</v>
      </c>
      <c r="I403" s="141">
        <f t="shared" si="7"/>
        <v>5152.5599999999995</v>
      </c>
      <c r="J403" s="33">
        <f t="shared" si="7"/>
        <v>37977737</v>
      </c>
      <c r="K403" s="33"/>
      <c r="L403" s="141">
        <f t="shared" si="8"/>
        <v>5255.74</v>
      </c>
      <c r="M403" s="33">
        <f t="shared" si="8"/>
        <v>41316389</v>
      </c>
    </row>
    <row r="404" spans="1:13" ht="12">
      <c r="A404" s="41">
        <v>28</v>
      </c>
      <c r="C404" s="4" t="s">
        <v>65</v>
      </c>
      <c r="D404" s="4" t="s">
        <v>63</v>
      </c>
      <c r="E404" s="41">
        <v>28</v>
      </c>
      <c r="F404" s="152"/>
      <c r="G404" s="143">
        <f t="shared" si="7"/>
        <v>42.8</v>
      </c>
      <c r="H404" s="33">
        <f t="shared" si="7"/>
        <v>1029226</v>
      </c>
      <c r="I404" s="141">
        <f t="shared" si="7"/>
        <v>47.17</v>
      </c>
      <c r="J404" s="33">
        <f t="shared" si="7"/>
        <v>1167027</v>
      </c>
      <c r="K404" s="33"/>
      <c r="L404" s="141">
        <f t="shared" si="8"/>
        <v>45.64</v>
      </c>
      <c r="M404" s="33">
        <f t="shared" si="8"/>
        <v>1187820</v>
      </c>
    </row>
    <row r="405" spans="1:13" ht="12">
      <c r="A405" s="41">
        <v>29</v>
      </c>
      <c r="D405" s="4" t="s">
        <v>64</v>
      </c>
      <c r="E405" s="41">
        <v>29</v>
      </c>
      <c r="F405" s="152"/>
      <c r="G405" s="143">
        <f t="shared" si="7"/>
        <v>337.2</v>
      </c>
      <c r="H405" s="33">
        <f t="shared" si="7"/>
        <v>4059947</v>
      </c>
      <c r="I405" s="141">
        <f t="shared" si="7"/>
        <v>277.47</v>
      </c>
      <c r="J405" s="33">
        <f t="shared" si="7"/>
        <v>5947153</v>
      </c>
      <c r="K405" s="33"/>
      <c r="L405" s="141">
        <f t="shared" si="8"/>
        <v>258.5</v>
      </c>
      <c r="M405" s="33">
        <f t="shared" si="8"/>
        <v>5383215</v>
      </c>
    </row>
    <row r="406" spans="1:13" ht="12">
      <c r="A406" s="41">
        <v>30</v>
      </c>
      <c r="E406" s="41">
        <v>30</v>
      </c>
      <c r="F406" s="152"/>
      <c r="G406" s="143"/>
      <c r="H406" s="33"/>
      <c r="I406" s="142"/>
      <c r="J406" s="34"/>
      <c r="K406" s="33"/>
      <c r="L406" s="142"/>
      <c r="M406" s="34"/>
    </row>
    <row r="407" spans="1:13" ht="12">
      <c r="A407" s="41">
        <v>31</v>
      </c>
      <c r="C407" s="4" t="s">
        <v>74</v>
      </c>
      <c r="E407" s="41">
        <v>31</v>
      </c>
      <c r="F407" s="152"/>
      <c r="G407" s="143">
        <f>SUM(G402:G403)</f>
        <v>5821.999999999999</v>
      </c>
      <c r="H407" s="33">
        <f>SUM(H402:H403)</f>
        <v>42914869</v>
      </c>
      <c r="I407" s="141">
        <f>SUM(I402:I403)</f>
        <v>5814.919999999999</v>
      </c>
      <c r="J407" s="33">
        <f>SUM(J402:J403)</f>
        <v>44287186</v>
      </c>
      <c r="K407" s="33"/>
      <c r="L407" s="141">
        <f>SUM(L402:L403)</f>
        <v>5941.86</v>
      </c>
      <c r="M407" s="33">
        <f>SUM(M402:M403)</f>
        <v>48010277</v>
      </c>
    </row>
    <row r="408" spans="1:13" ht="12">
      <c r="A408" s="41">
        <v>32</v>
      </c>
      <c r="C408" s="4" t="s">
        <v>75</v>
      </c>
      <c r="E408" s="41">
        <v>32</v>
      </c>
      <c r="F408" s="152"/>
      <c r="G408" s="143">
        <f>SUM(G404:G405)</f>
        <v>380</v>
      </c>
      <c r="H408" s="33">
        <f>SUM(H404:H405)</f>
        <v>5089173</v>
      </c>
      <c r="I408" s="141">
        <f>SUM(I404:I405)</f>
        <v>324.64000000000004</v>
      </c>
      <c r="J408" s="33">
        <f>SUM(J404:J405)</f>
        <v>7114180</v>
      </c>
      <c r="K408" s="33"/>
      <c r="L408" s="141">
        <f>SUM(L404:L405)</f>
        <v>304.14</v>
      </c>
      <c r="M408" s="33">
        <f>SUM(M404:M405)</f>
        <v>6571035</v>
      </c>
    </row>
    <row r="409" spans="1:13" ht="12">
      <c r="A409" s="41">
        <v>33</v>
      </c>
      <c r="C409" s="4" t="s">
        <v>76</v>
      </c>
      <c r="E409" s="41">
        <v>33</v>
      </c>
      <c r="F409" s="153"/>
      <c r="G409" s="144">
        <f aca="true" t="shared" si="9" ref="G409:J410">SUM(G402,G404)</f>
        <v>731</v>
      </c>
      <c r="H409" s="34">
        <f t="shared" si="9"/>
        <v>6945807</v>
      </c>
      <c r="I409" s="142">
        <f t="shared" si="9"/>
        <v>709.53</v>
      </c>
      <c r="J409" s="34">
        <f t="shared" si="9"/>
        <v>7476476</v>
      </c>
      <c r="K409" s="34"/>
      <c r="L409" s="142">
        <f>SUM(L402,L404)</f>
        <v>731.76</v>
      </c>
      <c r="M409" s="34">
        <f>SUM(M402,M404)</f>
        <v>7881708</v>
      </c>
    </row>
    <row r="410" spans="1:13" ht="12">
      <c r="A410" s="41">
        <v>34</v>
      </c>
      <c r="C410" s="4" t="s">
        <v>244</v>
      </c>
      <c r="E410" s="41">
        <v>34</v>
      </c>
      <c r="F410" s="153"/>
      <c r="G410" s="144">
        <f>SUM(G403,G405)</f>
        <v>5470.999999999999</v>
      </c>
      <c r="H410" s="34">
        <f t="shared" si="9"/>
        <v>41058235</v>
      </c>
      <c r="I410" s="142">
        <f t="shared" si="9"/>
        <v>5430.03</v>
      </c>
      <c r="J410" s="34">
        <f t="shared" si="9"/>
        <v>43924890</v>
      </c>
      <c r="K410" s="34"/>
      <c r="L410" s="142">
        <f>SUM(L403,L405)</f>
        <v>5514.24</v>
      </c>
      <c r="M410" s="34">
        <f>SUM(M403,M405)</f>
        <v>46699604</v>
      </c>
    </row>
    <row r="411" spans="1:13" ht="12">
      <c r="A411" s="4"/>
      <c r="C411" s="15" t="s">
        <v>1</v>
      </c>
      <c r="D411" s="15" t="s">
        <v>1</v>
      </c>
      <c r="E411" s="15" t="s">
        <v>1</v>
      </c>
      <c r="F411" s="153" t="s">
        <v>1</v>
      </c>
      <c r="G411" s="15" t="s">
        <v>1</v>
      </c>
      <c r="H411" s="15" t="s">
        <v>1</v>
      </c>
      <c r="I411" s="150" t="s">
        <v>1</v>
      </c>
      <c r="J411" s="15" t="s">
        <v>1</v>
      </c>
      <c r="K411" s="15" t="s">
        <v>1</v>
      </c>
      <c r="L411" s="150" t="s">
        <v>1</v>
      </c>
      <c r="M411" s="15"/>
    </row>
    <row r="412" spans="1:13" ht="12">
      <c r="A412" s="41">
        <v>35</v>
      </c>
      <c r="C412" s="5" t="s">
        <v>77</v>
      </c>
      <c r="E412" s="41">
        <v>35</v>
      </c>
      <c r="F412" s="152"/>
      <c r="G412" s="143">
        <f>SUM(G409:G410)</f>
        <v>6201.999999999999</v>
      </c>
      <c r="H412" s="33">
        <f>SUM(H409:H410)</f>
        <v>48004042</v>
      </c>
      <c r="I412" s="141">
        <f>SUM(I409:I410)</f>
        <v>6139.5599999999995</v>
      </c>
      <c r="J412" s="33">
        <f>SUM(J409:J410)</f>
        <v>51401366</v>
      </c>
      <c r="K412" s="33"/>
      <c r="L412" s="141">
        <f>SUM(L409:L410)</f>
        <v>6246</v>
      </c>
      <c r="M412" s="33">
        <f>SUM(M409:M410)</f>
        <v>54581312</v>
      </c>
    </row>
    <row r="413" spans="3:13" ht="12">
      <c r="C413" s="4" t="s">
        <v>201</v>
      </c>
      <c r="F413" s="24" t="s">
        <v>1</v>
      </c>
      <c r="G413" s="24"/>
      <c r="H413" s="24"/>
      <c r="I413" s="16"/>
      <c r="J413" s="19"/>
      <c r="K413" s="24"/>
      <c r="L413" s="16"/>
      <c r="M413" s="19"/>
    </row>
    <row r="414" spans="3:13" ht="12">
      <c r="C414" s="4"/>
      <c r="F414" s="24"/>
      <c r="G414" s="24"/>
      <c r="H414" s="24"/>
      <c r="I414" s="16"/>
      <c r="J414" s="19"/>
      <c r="K414" s="24"/>
      <c r="L414" s="16"/>
      <c r="M414" s="19"/>
    </row>
    <row r="416" spans="1:13" ht="12">
      <c r="A416" s="5">
        <v>36</v>
      </c>
      <c r="C416" s="5" t="s">
        <v>202</v>
      </c>
      <c r="E416" s="5">
        <v>36</v>
      </c>
      <c r="F416" s="24"/>
      <c r="G416" s="24"/>
      <c r="H416" s="371">
        <v>10191841</v>
      </c>
      <c r="I416" s="19"/>
      <c r="J416" s="371">
        <f>9866488+1502175</f>
        <v>11368663</v>
      </c>
      <c r="K416" s="19"/>
      <c r="L416" s="19"/>
      <c r="M416" s="173">
        <f>J416*1.02</f>
        <v>11596036.26</v>
      </c>
    </row>
    <row r="417" spans="3:13" ht="12">
      <c r="C417" s="5" t="s">
        <v>237</v>
      </c>
      <c r="F417" s="24"/>
      <c r="G417" s="24"/>
      <c r="H417" s="24"/>
      <c r="I417" s="16"/>
      <c r="J417" s="25"/>
      <c r="K417" s="24"/>
      <c r="L417" s="16"/>
      <c r="M417" s="25"/>
    </row>
    <row r="418" spans="6:13" ht="12">
      <c r="F418" s="24"/>
      <c r="G418" s="24"/>
      <c r="H418" s="24"/>
      <c r="I418" s="16"/>
      <c r="J418" s="25"/>
      <c r="K418" s="24"/>
      <c r="L418" s="16"/>
      <c r="M418" s="25"/>
    </row>
    <row r="419" ht="12">
      <c r="A419" s="4"/>
    </row>
    <row r="420" spans="1:13" s="21" customFormat="1" ht="12">
      <c r="A420" s="70" t="str">
        <f>$A$82</f>
        <v>Institution No.:  GFC</v>
      </c>
      <c r="E420" s="20"/>
      <c r="I420" s="22"/>
      <c r="J420" s="23"/>
      <c r="L420" s="22"/>
      <c r="M420" s="105" t="s">
        <v>78</v>
      </c>
    </row>
    <row r="421" spans="4:13" s="21" customFormat="1" ht="12">
      <c r="D421" s="26" t="s">
        <v>79</v>
      </c>
      <c r="E421" s="20"/>
      <c r="I421" s="22"/>
      <c r="J421" s="23"/>
      <c r="L421" s="22"/>
      <c r="M421" s="23"/>
    </row>
    <row r="422" spans="1:13" ht="12">
      <c r="A422" s="70" t="str">
        <f>$A$42</f>
        <v>NAME: UNIVERSITY OF COLORADO AT COLORADO SPRINGS</v>
      </c>
      <c r="F422" s="106"/>
      <c r="G422" s="106"/>
      <c r="H422" s="106"/>
      <c r="I422" s="102"/>
      <c r="J422" s="103"/>
      <c r="L422" s="6"/>
      <c r="M422" s="72" t="str">
        <f>$M$3</f>
        <v>Date: 10/1/2007</v>
      </c>
    </row>
    <row r="423" spans="1:13" ht="12">
      <c r="A423" s="15" t="s">
        <v>1</v>
      </c>
      <c r="B423" s="15" t="s">
        <v>1</v>
      </c>
      <c r="C423" s="15" t="s">
        <v>1</v>
      </c>
      <c r="D423" s="15" t="s">
        <v>1</v>
      </c>
      <c r="E423" s="15" t="s">
        <v>1</v>
      </c>
      <c r="F423" s="15" t="s">
        <v>1</v>
      </c>
      <c r="G423" s="15"/>
      <c r="H423" s="15"/>
      <c r="I423" s="16" t="s">
        <v>1</v>
      </c>
      <c r="J423" s="19" t="s">
        <v>1</v>
      </c>
      <c r="K423" s="15" t="s">
        <v>1</v>
      </c>
      <c r="L423" s="16" t="s">
        <v>1</v>
      </c>
      <c r="M423" s="19" t="s">
        <v>1</v>
      </c>
    </row>
    <row r="424" spans="1:13" ht="12">
      <c r="A424" s="73" t="s">
        <v>2</v>
      </c>
      <c r="E424" s="73" t="s">
        <v>2</v>
      </c>
      <c r="H424" s="1" t="s">
        <v>172</v>
      </c>
      <c r="I424" s="2"/>
      <c r="J424" s="3" t="s">
        <v>280</v>
      </c>
      <c r="K424" s="1"/>
      <c r="L424" s="2"/>
      <c r="M424" s="3" t="s">
        <v>289</v>
      </c>
    </row>
    <row r="425" spans="1:13" ht="12">
      <c r="A425" s="73" t="s">
        <v>4</v>
      </c>
      <c r="C425" s="74" t="s">
        <v>20</v>
      </c>
      <c r="E425" s="73" t="s">
        <v>4</v>
      </c>
      <c r="H425" s="3" t="s">
        <v>7</v>
      </c>
      <c r="I425" s="6"/>
      <c r="J425" s="3" t="s">
        <v>7</v>
      </c>
      <c r="L425" s="6"/>
      <c r="M425" s="3" t="s">
        <v>8</v>
      </c>
    </row>
    <row r="426" spans="1:13" ht="12">
      <c r="A426" s="15" t="s">
        <v>1</v>
      </c>
      <c r="B426" s="15" t="s">
        <v>1</v>
      </c>
      <c r="C426" s="15" t="s">
        <v>1</v>
      </c>
      <c r="D426" s="15" t="s">
        <v>1</v>
      </c>
      <c r="E426" s="15" t="s">
        <v>1</v>
      </c>
      <c r="F426" s="15" t="s">
        <v>1</v>
      </c>
      <c r="G426" s="15"/>
      <c r="H426" s="15"/>
      <c r="I426" s="16" t="s">
        <v>1</v>
      </c>
      <c r="J426" s="19" t="s">
        <v>1</v>
      </c>
      <c r="K426" s="15" t="s">
        <v>1</v>
      </c>
      <c r="L426" s="16" t="s">
        <v>1</v>
      </c>
      <c r="M426" s="19" t="s">
        <v>1</v>
      </c>
    </row>
    <row r="427" spans="1:13" ht="12">
      <c r="A427" s="30">
        <v>1</v>
      </c>
      <c r="C427" s="4" t="s">
        <v>94</v>
      </c>
      <c r="E427" s="30">
        <v>1</v>
      </c>
      <c r="I427" s="6"/>
      <c r="J427" s="25"/>
      <c r="L427" s="6"/>
      <c r="M427" s="25"/>
    </row>
    <row r="428" spans="1:13" ht="12">
      <c r="A428" s="30"/>
      <c r="C428" s="4"/>
      <c r="E428" s="30"/>
      <c r="I428" s="6"/>
      <c r="J428" s="25"/>
      <c r="L428" s="6"/>
      <c r="M428" s="25"/>
    </row>
    <row r="429" spans="1:13" ht="12">
      <c r="A429" s="30">
        <f>(A427+1)</f>
        <v>2</v>
      </c>
      <c r="C429" s="4" t="s">
        <v>80</v>
      </c>
      <c r="E429" s="30">
        <f>(E427+1)</f>
        <v>2</v>
      </c>
      <c r="F429" s="27"/>
      <c r="G429" s="27"/>
      <c r="H429" s="28"/>
      <c r="I429" s="28"/>
      <c r="J429" s="28"/>
      <c r="K429" s="28"/>
      <c r="L429" s="28"/>
      <c r="M429" s="28"/>
    </row>
    <row r="430" spans="1:13" ht="12">
      <c r="A430" s="30">
        <f aca="true" t="shared" si="10" ref="A430:A435">(A429+1)</f>
        <v>3</v>
      </c>
      <c r="C430" s="4" t="s">
        <v>249</v>
      </c>
      <c r="E430" s="30">
        <f aca="true" t="shared" si="11" ref="E430:E435">(E429+1)</f>
        <v>3</v>
      </c>
      <c r="F430" s="27"/>
      <c r="G430" s="27"/>
      <c r="H430" s="28">
        <v>943333</v>
      </c>
      <c r="I430" s="28"/>
      <c r="J430" s="28">
        <f>2071588-96590.31-918711.74</f>
        <v>1056285.95</v>
      </c>
      <c r="K430" s="28"/>
      <c r="L430" s="28"/>
      <c r="M430" s="28">
        <f>883139+1048013+20960-103001-965973+17663+1</f>
        <v>900802</v>
      </c>
    </row>
    <row r="431" spans="1:13" ht="12">
      <c r="A431" s="30">
        <f t="shared" si="10"/>
        <v>4</v>
      </c>
      <c r="C431" s="4" t="s">
        <v>250</v>
      </c>
      <c r="E431" s="30">
        <f t="shared" si="11"/>
        <v>4</v>
      </c>
      <c r="F431" s="27"/>
      <c r="G431" s="27"/>
      <c r="H431" s="155">
        <v>0</v>
      </c>
      <c r="I431" s="28"/>
      <c r="J431" s="155">
        <v>0</v>
      </c>
      <c r="K431" s="28"/>
      <c r="L431" s="28"/>
      <c r="M431" s="155">
        <v>0</v>
      </c>
    </row>
    <row r="432" spans="1:13" ht="12">
      <c r="A432" s="30">
        <f t="shared" si="10"/>
        <v>5</v>
      </c>
      <c r="C432" s="5" t="s">
        <v>238</v>
      </c>
      <c r="E432" s="30">
        <f t="shared" si="11"/>
        <v>5</v>
      </c>
      <c r="F432" s="27"/>
      <c r="G432" s="27"/>
      <c r="H432" s="155">
        <v>0</v>
      </c>
      <c r="I432" s="28"/>
      <c r="J432" s="155">
        <v>0</v>
      </c>
      <c r="K432" s="28"/>
      <c r="L432" s="28"/>
      <c r="M432" s="155">
        <v>0</v>
      </c>
    </row>
    <row r="433" spans="1:13" ht="12">
      <c r="A433" s="30">
        <f t="shared" si="10"/>
        <v>6</v>
      </c>
      <c r="C433" s="5" t="s">
        <v>263</v>
      </c>
      <c r="E433" s="30">
        <f t="shared" si="11"/>
        <v>6</v>
      </c>
      <c r="F433" s="27"/>
      <c r="G433" s="27"/>
      <c r="H433" s="29">
        <v>1063604</v>
      </c>
      <c r="I433" s="29"/>
      <c r="J433" s="29">
        <f>58488+96590.31+918711.74</f>
        <v>1073790.05</v>
      </c>
      <c r="K433" s="29"/>
      <c r="L433" s="29"/>
      <c r="M433" s="155">
        <v>1015913</v>
      </c>
    </row>
    <row r="434" spans="1:13" ht="12">
      <c r="A434" s="30">
        <f t="shared" si="10"/>
        <v>7</v>
      </c>
      <c r="C434" s="5" t="s">
        <v>310</v>
      </c>
      <c r="E434" s="30">
        <f t="shared" si="11"/>
        <v>7</v>
      </c>
      <c r="F434" s="27"/>
      <c r="G434" s="27"/>
      <c r="H434" s="29">
        <v>51000</v>
      </c>
      <c r="I434" s="29"/>
      <c r="J434" s="29">
        <v>4510</v>
      </c>
      <c r="K434" s="29"/>
      <c r="L434" s="29"/>
      <c r="M434" s="29">
        <v>53060</v>
      </c>
    </row>
    <row r="435" spans="1:13" ht="12">
      <c r="A435" s="30">
        <f t="shared" si="10"/>
        <v>8</v>
      </c>
      <c r="E435" s="30">
        <f t="shared" si="11"/>
        <v>8</v>
      </c>
      <c r="F435" s="27"/>
      <c r="G435" s="27"/>
      <c r="H435" s="29"/>
      <c r="I435" s="29"/>
      <c r="J435" s="29"/>
      <c r="K435" s="29"/>
      <c r="L435" s="29"/>
      <c r="M435" s="29"/>
    </row>
    <row r="436" spans="1:13" ht="12">
      <c r="A436" s="30"/>
      <c r="E436" s="30"/>
      <c r="F436" s="24" t="s">
        <v>1</v>
      </c>
      <c r="G436" s="24"/>
      <c r="H436" s="24"/>
      <c r="I436" s="16" t="s">
        <v>1</v>
      </c>
      <c r="J436" s="19"/>
      <c r="K436" s="24"/>
      <c r="L436" s="16"/>
      <c r="M436" s="19"/>
    </row>
    <row r="437" spans="1:13" ht="12">
      <c r="A437" s="30">
        <v>9</v>
      </c>
      <c r="C437" s="5" t="s">
        <v>82</v>
      </c>
      <c r="E437" s="30">
        <v>9</v>
      </c>
      <c r="F437" s="27"/>
      <c r="G437" s="27"/>
      <c r="H437" s="28">
        <f>SUM(H429:H434)</f>
        <v>2057937</v>
      </c>
      <c r="I437" s="28"/>
      <c r="J437" s="28">
        <f>SUM(J429:J434)</f>
        <v>2134586</v>
      </c>
      <c r="K437" s="28"/>
      <c r="L437" s="28"/>
      <c r="M437" s="28">
        <f>SUM(M429:M434)</f>
        <v>1969775</v>
      </c>
    </row>
    <row r="438" spans="1:13" ht="12">
      <c r="A438" s="30"/>
      <c r="E438" s="30"/>
      <c r="F438" s="24" t="s">
        <v>1</v>
      </c>
      <c r="G438" s="24"/>
      <c r="H438" s="24"/>
      <c r="I438" s="16" t="s">
        <v>1</v>
      </c>
      <c r="J438" s="19"/>
      <c r="K438" s="24"/>
      <c r="L438" s="16"/>
      <c r="M438" s="19"/>
    </row>
    <row r="439" spans="1:13" ht="12">
      <c r="A439" s="30">
        <v>10</v>
      </c>
      <c r="C439" s="31" t="s">
        <v>83</v>
      </c>
      <c r="E439" s="30">
        <v>10</v>
      </c>
      <c r="F439" s="27"/>
      <c r="G439" s="27"/>
      <c r="H439" s="32">
        <v>0</v>
      </c>
      <c r="I439" s="32"/>
      <c r="J439" s="32">
        <v>0</v>
      </c>
      <c r="K439" s="32"/>
      <c r="L439" s="32"/>
      <c r="M439" s="32">
        <v>0</v>
      </c>
    </row>
    <row r="440" spans="1:13" ht="12">
      <c r="A440" s="30">
        <v>11</v>
      </c>
      <c r="C440" s="31" t="s">
        <v>241</v>
      </c>
      <c r="E440" s="30">
        <v>11</v>
      </c>
      <c r="H440" s="33"/>
      <c r="I440" s="34"/>
      <c r="J440" s="34"/>
      <c r="K440" s="33"/>
      <c r="L440" s="34"/>
      <c r="M440" s="34"/>
    </row>
    <row r="441" spans="1:13" ht="12">
      <c r="A441" s="30">
        <v>12</v>
      </c>
      <c r="C441" s="31" t="s">
        <v>81</v>
      </c>
      <c r="D441" s="35"/>
      <c r="E441" s="30">
        <v>12</v>
      </c>
      <c r="H441" s="33"/>
      <c r="I441" s="34"/>
      <c r="J441" s="34">
        <v>0</v>
      </c>
      <c r="K441" s="33"/>
      <c r="L441" s="34"/>
      <c r="M441" s="34">
        <v>0</v>
      </c>
    </row>
    <row r="442" spans="1:13" ht="12">
      <c r="A442" s="30">
        <v>13</v>
      </c>
      <c r="E442" s="30">
        <v>13</v>
      </c>
      <c r="I442" s="6"/>
      <c r="J442" s="25"/>
      <c r="L442" s="6"/>
      <c r="M442" s="25"/>
    </row>
    <row r="443" spans="6:13" ht="12">
      <c r="F443" s="24" t="s">
        <v>1</v>
      </c>
      <c r="G443" s="24"/>
      <c r="H443" s="24"/>
      <c r="I443" s="16" t="s">
        <v>1</v>
      </c>
      <c r="J443" s="19"/>
      <c r="K443" s="24"/>
      <c r="L443" s="16"/>
      <c r="M443" s="19"/>
    </row>
    <row r="444" spans="1:13" ht="12">
      <c r="A444" s="30">
        <v>14</v>
      </c>
      <c r="C444" s="5" t="s">
        <v>116</v>
      </c>
      <c r="E444" s="30">
        <v>14</v>
      </c>
      <c r="H444" s="33">
        <f>SUM(H439:H441)</f>
        <v>0</v>
      </c>
      <c r="I444" s="34"/>
      <c r="J444" s="33">
        <f>SUM(J439:J441)</f>
        <v>0</v>
      </c>
      <c r="K444" s="33"/>
      <c r="L444" s="34"/>
      <c r="M444" s="33">
        <f>SUM(M439:M441)</f>
        <v>0</v>
      </c>
    </row>
    <row r="445" spans="1:13" ht="12">
      <c r="A445" s="30"/>
      <c r="E445" s="30"/>
      <c r="F445" s="24" t="s">
        <v>1</v>
      </c>
      <c r="G445" s="24"/>
      <c r="H445" s="24"/>
      <c r="I445" s="16" t="s">
        <v>1</v>
      </c>
      <c r="J445" s="19"/>
      <c r="K445" s="24"/>
      <c r="L445" s="16"/>
      <c r="M445" s="19"/>
    </row>
    <row r="446" spans="1:13" ht="12">
      <c r="A446" s="30">
        <v>15</v>
      </c>
      <c r="C446" s="31" t="s">
        <v>93</v>
      </c>
      <c r="D446" s="36"/>
      <c r="E446" s="30">
        <v>15</v>
      </c>
      <c r="H446" s="33">
        <f>SUM(H437,H444)</f>
        <v>2057937</v>
      </c>
      <c r="I446" s="34"/>
      <c r="J446" s="33">
        <f>SUM(J437,J444)</f>
        <v>2134586</v>
      </c>
      <c r="K446" s="33"/>
      <c r="L446" s="34"/>
      <c r="M446" s="33">
        <f>SUM(M437,M444)</f>
        <v>1969775</v>
      </c>
    </row>
    <row r="447" spans="1:13" ht="12">
      <c r="A447" s="30"/>
      <c r="C447" s="31"/>
      <c r="D447" s="36"/>
      <c r="E447" s="30"/>
      <c r="H447" s="33"/>
      <c r="I447" s="34"/>
      <c r="J447" s="34"/>
      <c r="K447" s="33"/>
      <c r="L447" s="34"/>
      <c r="M447" s="34"/>
    </row>
    <row r="448" spans="1:13" ht="12">
      <c r="A448" s="30">
        <v>16</v>
      </c>
      <c r="C448" s="5" t="s">
        <v>205</v>
      </c>
      <c r="E448" s="30">
        <v>16</v>
      </c>
      <c r="H448" s="33">
        <v>-1674667</v>
      </c>
      <c r="I448" s="34"/>
      <c r="J448" s="34">
        <f>-2672495+263244</f>
        <v>-2409251</v>
      </c>
      <c r="K448" s="33"/>
      <c r="L448" s="34"/>
      <c r="M448" s="159">
        <v>0</v>
      </c>
    </row>
    <row r="449" spans="1:13" ht="12">
      <c r="A449" s="30">
        <v>17</v>
      </c>
      <c r="C449" s="4" t="s">
        <v>0</v>
      </c>
      <c r="E449" s="30">
        <v>17</v>
      </c>
      <c r="F449" s="27"/>
      <c r="G449" s="27"/>
      <c r="H449" s="32"/>
      <c r="I449" s="32"/>
      <c r="J449" s="32"/>
      <c r="K449" s="32"/>
      <c r="L449" s="32"/>
      <c r="M449" s="32"/>
    </row>
    <row r="450" spans="1:13" ht="12">
      <c r="A450" s="30">
        <v>18</v>
      </c>
      <c r="E450" s="30">
        <v>18</v>
      </c>
      <c r="H450" s="33"/>
      <c r="I450" s="33"/>
      <c r="J450" s="33"/>
      <c r="K450" s="33"/>
      <c r="L450" s="33"/>
      <c r="M450" s="33"/>
    </row>
    <row r="451" spans="1:13" ht="12">
      <c r="A451" s="30">
        <v>19</v>
      </c>
      <c r="E451" s="30">
        <v>19</v>
      </c>
      <c r="H451" s="33"/>
      <c r="I451" s="33"/>
      <c r="J451" s="33"/>
      <c r="K451" s="33"/>
      <c r="L451" s="33"/>
      <c r="M451" s="33"/>
    </row>
    <row r="452" spans="1:13" ht="12">
      <c r="A452" s="30"/>
      <c r="C452" s="31"/>
      <c r="E452" s="30"/>
      <c r="F452" s="24" t="s">
        <v>1</v>
      </c>
      <c r="G452" s="24"/>
      <c r="H452" s="24"/>
      <c r="I452" s="16" t="s">
        <v>1</v>
      </c>
      <c r="J452" s="19" t="s">
        <v>1</v>
      </c>
      <c r="K452" s="24" t="s">
        <v>1</v>
      </c>
      <c r="L452" s="16" t="s">
        <v>1</v>
      </c>
      <c r="M452" s="19" t="s">
        <v>1</v>
      </c>
    </row>
    <row r="453" spans="1:13" ht="12">
      <c r="A453" s="30">
        <v>20</v>
      </c>
      <c r="C453" s="31" t="s">
        <v>92</v>
      </c>
      <c r="E453" s="30">
        <v>20</v>
      </c>
      <c r="H453" s="33">
        <f>H446+H448</f>
        <v>383270</v>
      </c>
      <c r="I453" s="34"/>
      <c r="J453" s="33">
        <f>J446+J448</f>
        <v>-274665</v>
      </c>
      <c r="K453" s="33"/>
      <c r="L453" s="34"/>
      <c r="M453" s="33">
        <f>M446+M448</f>
        <v>1969775</v>
      </c>
    </row>
    <row r="454" spans="1:13" ht="12">
      <c r="A454" s="37"/>
      <c r="C454" s="4" t="s">
        <v>203</v>
      </c>
      <c r="E454" s="38"/>
      <c r="F454" s="24" t="s">
        <v>1</v>
      </c>
      <c r="G454" s="24"/>
      <c r="H454" s="24"/>
      <c r="I454" s="16" t="s">
        <v>1</v>
      </c>
      <c r="J454" s="19" t="s">
        <v>1</v>
      </c>
      <c r="K454" s="24" t="s">
        <v>1</v>
      </c>
      <c r="L454" s="16" t="s">
        <v>1</v>
      </c>
      <c r="M454" s="19" t="s">
        <v>1</v>
      </c>
    </row>
    <row r="455" spans="6:13" ht="12">
      <c r="F455" s="24"/>
      <c r="G455" s="24"/>
      <c r="H455" s="24"/>
      <c r="I455" s="16"/>
      <c r="J455" s="25"/>
      <c r="K455" s="24"/>
      <c r="L455" s="16"/>
      <c r="M455" s="25"/>
    </row>
    <row r="456" ht="12">
      <c r="A456" s="4"/>
    </row>
    <row r="457" spans="1:13" s="21" customFormat="1" ht="12">
      <c r="A457" s="70" t="str">
        <f>$A$82</f>
        <v>Institution No.:  GFC</v>
      </c>
      <c r="E457" s="20"/>
      <c r="I457" s="22"/>
      <c r="J457" s="23"/>
      <c r="L457" s="22"/>
      <c r="M457" s="69" t="s">
        <v>84</v>
      </c>
    </row>
    <row r="458" spans="4:13" s="21" customFormat="1" ht="12">
      <c r="D458" s="26" t="s">
        <v>85</v>
      </c>
      <c r="E458" s="20"/>
      <c r="I458" s="22"/>
      <c r="J458" s="23"/>
      <c r="L458" s="22"/>
      <c r="M458" s="23"/>
    </row>
    <row r="459" spans="1:13" ht="12">
      <c r="A459" s="70" t="str">
        <f>$A$42</f>
        <v>NAME: UNIVERSITY OF COLORADO AT COLORADO SPRINGS</v>
      </c>
      <c r="F459" s="106"/>
      <c r="G459" s="106"/>
      <c r="H459" s="106"/>
      <c r="I459" s="102"/>
      <c r="J459" s="25"/>
      <c r="L459" s="6"/>
      <c r="M459" s="72" t="str">
        <f>$M$3</f>
        <v>Date: 10/1/2007</v>
      </c>
    </row>
    <row r="460" spans="1:13" ht="12">
      <c r="A460" s="15" t="s">
        <v>1</v>
      </c>
      <c r="B460" s="15" t="s">
        <v>1</v>
      </c>
      <c r="C460" s="15" t="s">
        <v>1</v>
      </c>
      <c r="D460" s="15" t="s">
        <v>1</v>
      </c>
      <c r="E460" s="15" t="s">
        <v>1</v>
      </c>
      <c r="F460" s="15" t="s">
        <v>1</v>
      </c>
      <c r="G460" s="15"/>
      <c r="H460" s="15"/>
      <c r="I460" s="16" t="s">
        <v>1</v>
      </c>
      <c r="J460" s="19" t="s">
        <v>1</v>
      </c>
      <c r="K460" s="15" t="s">
        <v>1</v>
      </c>
      <c r="L460" s="16" t="s">
        <v>1</v>
      </c>
      <c r="M460" s="19" t="s">
        <v>1</v>
      </c>
    </row>
    <row r="461" spans="1:13" ht="12">
      <c r="A461" s="73" t="s">
        <v>2</v>
      </c>
      <c r="E461" s="73" t="s">
        <v>2</v>
      </c>
      <c r="H461" s="1" t="s">
        <v>172</v>
      </c>
      <c r="I461" s="2"/>
      <c r="J461" s="3" t="s">
        <v>280</v>
      </c>
      <c r="K461" s="1"/>
      <c r="L461" s="2"/>
      <c r="M461" s="3" t="s">
        <v>289</v>
      </c>
    </row>
    <row r="462" spans="1:13" ht="12">
      <c r="A462" s="73" t="s">
        <v>4</v>
      </c>
      <c r="C462" s="74" t="s">
        <v>20</v>
      </c>
      <c r="E462" s="73" t="s">
        <v>4</v>
      </c>
      <c r="H462" s="3" t="s">
        <v>7</v>
      </c>
      <c r="I462" s="6"/>
      <c r="J462" s="3" t="s">
        <v>7</v>
      </c>
      <c r="L462" s="6"/>
      <c r="M462" s="3" t="s">
        <v>8</v>
      </c>
    </row>
    <row r="463" spans="1:13" ht="12">
      <c r="A463" s="15" t="s">
        <v>1</v>
      </c>
      <c r="B463" s="15" t="s">
        <v>1</v>
      </c>
      <c r="C463" s="15" t="s">
        <v>1</v>
      </c>
      <c r="D463" s="15" t="s">
        <v>1</v>
      </c>
      <c r="E463" s="15" t="s">
        <v>1</v>
      </c>
      <c r="F463" s="15" t="s">
        <v>1</v>
      </c>
      <c r="G463" s="15"/>
      <c r="H463" s="15"/>
      <c r="I463" s="16" t="s">
        <v>1</v>
      </c>
      <c r="J463" s="19" t="s">
        <v>1</v>
      </c>
      <c r="K463" s="15" t="s">
        <v>1</v>
      </c>
      <c r="L463" s="16" t="s">
        <v>1</v>
      </c>
      <c r="M463" s="19" t="s">
        <v>1</v>
      </c>
    </row>
    <row r="464" spans="1:13" ht="12">
      <c r="A464" s="30">
        <v>1</v>
      </c>
      <c r="C464" s="4" t="s">
        <v>95</v>
      </c>
      <c r="E464" s="30">
        <v>1</v>
      </c>
      <c r="H464" s="33"/>
      <c r="I464" s="34"/>
      <c r="J464" s="34"/>
      <c r="K464" s="33"/>
      <c r="L464" s="34"/>
      <c r="M464" s="34"/>
    </row>
    <row r="465" spans="1:13" ht="12">
      <c r="A465" s="30"/>
      <c r="C465" s="4"/>
      <c r="E465" s="30"/>
      <c r="H465" s="33"/>
      <c r="I465" s="34"/>
      <c r="J465" s="34"/>
      <c r="K465" s="33"/>
      <c r="L465" s="34"/>
      <c r="M465" s="34"/>
    </row>
    <row r="466" spans="1:13" ht="12">
      <c r="A466" s="30">
        <f>(A464+1)</f>
        <v>2</v>
      </c>
      <c r="C466" s="27" t="s">
        <v>86</v>
      </c>
      <c r="E466" s="30">
        <f>(E464+1)</f>
        <v>2</v>
      </c>
      <c r="F466" s="27"/>
      <c r="G466" s="27"/>
      <c r="H466" s="160">
        <v>855940</v>
      </c>
      <c r="I466" s="32"/>
      <c r="J466" s="32">
        <f>948415-7927</f>
        <v>940488</v>
      </c>
      <c r="K466" s="32"/>
      <c r="L466" s="32"/>
      <c r="M466" s="32">
        <v>909516</v>
      </c>
    </row>
    <row r="467" spans="1:13" ht="12">
      <c r="A467" s="30">
        <f aca="true" t="shared" si="12" ref="A467:A472">(A466+1)</f>
        <v>3</v>
      </c>
      <c r="C467" s="27" t="s">
        <v>87</v>
      </c>
      <c r="E467" s="30">
        <f aca="true" t="shared" si="13" ref="E467:E472">(E466+1)</f>
        <v>3</v>
      </c>
      <c r="F467" s="27"/>
      <c r="G467" s="27"/>
      <c r="H467" s="32"/>
      <c r="I467" s="32"/>
      <c r="J467" s="32">
        <v>0</v>
      </c>
      <c r="K467" s="32"/>
      <c r="L467" s="32"/>
      <c r="M467" s="32">
        <v>0</v>
      </c>
    </row>
    <row r="468" spans="1:13" ht="12">
      <c r="A468" s="30">
        <f t="shared" si="12"/>
        <v>4</v>
      </c>
      <c r="C468" s="27" t="s">
        <v>264</v>
      </c>
      <c r="E468" s="30">
        <f t="shared" si="13"/>
        <v>4</v>
      </c>
      <c r="F468" s="27"/>
      <c r="G468" s="27"/>
      <c r="H468" s="32"/>
      <c r="I468" s="32"/>
      <c r="J468" s="32"/>
      <c r="K468" s="32"/>
      <c r="L468" s="32"/>
      <c r="M468" s="32"/>
    </row>
    <row r="469" spans="1:13" ht="12">
      <c r="A469" s="30">
        <f t="shared" si="12"/>
        <v>5</v>
      </c>
      <c r="C469" s="27"/>
      <c r="E469" s="30">
        <f t="shared" si="13"/>
        <v>5</v>
      </c>
      <c r="F469" s="27"/>
      <c r="G469" s="27"/>
      <c r="H469" s="32"/>
      <c r="I469" s="32"/>
      <c r="J469" s="32"/>
      <c r="K469" s="32"/>
      <c r="L469" s="32"/>
      <c r="M469" s="32"/>
    </row>
    <row r="470" spans="1:13" ht="12">
      <c r="A470" s="30">
        <f t="shared" si="12"/>
        <v>6</v>
      </c>
      <c r="C470" s="27"/>
      <c r="E470" s="30">
        <f t="shared" si="13"/>
        <v>6</v>
      </c>
      <c r="F470" s="27"/>
      <c r="G470" s="27"/>
      <c r="H470" s="32"/>
      <c r="I470" s="32"/>
      <c r="J470" s="32"/>
      <c r="K470" s="32"/>
      <c r="L470" s="32"/>
      <c r="M470" s="32"/>
    </row>
    <row r="471" spans="1:13" ht="12">
      <c r="A471" s="30">
        <f t="shared" si="12"/>
        <v>7</v>
      </c>
      <c r="C471" s="27"/>
      <c r="E471" s="30">
        <f t="shared" si="13"/>
        <v>7</v>
      </c>
      <c r="F471" s="27"/>
      <c r="G471" s="27"/>
      <c r="H471" s="32"/>
      <c r="I471" s="32"/>
      <c r="J471" s="32"/>
      <c r="K471" s="32"/>
      <c r="L471" s="32"/>
      <c r="M471" s="32"/>
    </row>
    <row r="472" spans="1:13" ht="12">
      <c r="A472" s="30">
        <f t="shared" si="12"/>
        <v>8</v>
      </c>
      <c r="C472" s="27"/>
      <c r="E472" s="30">
        <f t="shared" si="13"/>
        <v>8</v>
      </c>
      <c r="F472" s="27"/>
      <c r="G472" s="27"/>
      <c r="H472" s="32"/>
      <c r="I472" s="32"/>
      <c r="J472" s="32"/>
      <c r="K472" s="32"/>
      <c r="L472" s="32"/>
      <c r="M472" s="32"/>
    </row>
    <row r="473" spans="1:13" ht="12">
      <c r="A473" s="30"/>
      <c r="C473" s="27"/>
      <c r="E473" s="30"/>
      <c r="F473" s="24" t="s">
        <v>1</v>
      </c>
      <c r="G473" s="24"/>
      <c r="H473" s="24"/>
      <c r="I473" s="16" t="s">
        <v>1</v>
      </c>
      <c r="J473" s="19"/>
      <c r="K473" s="24"/>
      <c r="L473" s="16"/>
      <c r="M473" s="19"/>
    </row>
    <row r="474" spans="1:13" ht="12">
      <c r="A474" s="30">
        <v>9</v>
      </c>
      <c r="C474" s="5" t="s">
        <v>82</v>
      </c>
      <c r="E474" s="30">
        <v>9</v>
      </c>
      <c r="F474" s="27"/>
      <c r="G474" s="27"/>
      <c r="H474" s="28">
        <f>SUM(H466:H468)</f>
        <v>855940</v>
      </c>
      <c r="I474" s="32"/>
      <c r="J474" s="32">
        <f>SUM(J466:J468)</f>
        <v>940488</v>
      </c>
      <c r="K474" s="32"/>
      <c r="L474" s="32"/>
      <c r="M474" s="32">
        <f>SUM(M466:M468)</f>
        <v>909516</v>
      </c>
    </row>
    <row r="475" spans="1:13" ht="12">
      <c r="A475" s="30"/>
      <c r="C475" s="27"/>
      <c r="E475" s="30"/>
      <c r="F475" s="27"/>
      <c r="G475" s="27"/>
      <c r="H475" s="32"/>
      <c r="I475" s="32"/>
      <c r="J475" s="32"/>
      <c r="K475" s="32"/>
      <c r="L475" s="32"/>
      <c r="M475" s="32"/>
    </row>
    <row r="476" spans="1:13" ht="12">
      <c r="A476" s="30">
        <v>10</v>
      </c>
      <c r="C476" s="27" t="s">
        <v>239</v>
      </c>
      <c r="E476" s="30">
        <v>10</v>
      </c>
      <c r="F476" s="27"/>
      <c r="G476" s="27"/>
      <c r="H476" s="32">
        <v>0</v>
      </c>
      <c r="I476" s="32"/>
      <c r="J476" s="32"/>
      <c r="K476" s="32"/>
      <c r="L476" s="32"/>
      <c r="M476" s="32"/>
    </row>
    <row r="477" spans="1:13" ht="12">
      <c r="A477" s="30">
        <v>11</v>
      </c>
      <c r="C477" s="27" t="s">
        <v>88</v>
      </c>
      <c r="E477" s="30">
        <v>11</v>
      </c>
      <c r="F477" s="27"/>
      <c r="G477" s="27"/>
      <c r="H477" s="32"/>
      <c r="I477" s="32"/>
      <c r="J477" s="32"/>
      <c r="K477" s="32"/>
      <c r="L477" s="32"/>
      <c r="M477" s="32">
        <v>0</v>
      </c>
    </row>
    <row r="478" spans="1:13" ht="12">
      <c r="A478" s="30">
        <v>12</v>
      </c>
      <c r="C478" s="27" t="s">
        <v>240</v>
      </c>
      <c r="E478" s="30">
        <v>12</v>
      </c>
      <c r="F478" s="27"/>
      <c r="G478" s="27"/>
      <c r="H478" s="32">
        <v>693952</v>
      </c>
      <c r="I478" s="32"/>
      <c r="J478" s="32">
        <f>759895-1</f>
        <v>759894</v>
      </c>
      <c r="K478" s="32"/>
      <c r="L478" s="32"/>
      <c r="M478" s="32">
        <v>982880</v>
      </c>
    </row>
    <row r="479" spans="1:13" ht="12">
      <c r="A479" s="30">
        <v>13</v>
      </c>
      <c r="C479" s="27"/>
      <c r="E479" s="30">
        <v>13</v>
      </c>
      <c r="F479" s="27"/>
      <c r="G479" s="27"/>
      <c r="H479" s="32"/>
      <c r="I479" s="32"/>
      <c r="J479" s="32"/>
      <c r="K479" s="32"/>
      <c r="L479" s="32"/>
      <c r="M479" s="32"/>
    </row>
    <row r="480" spans="3:13" ht="12">
      <c r="C480" s="27"/>
      <c r="F480" s="24" t="s">
        <v>1</v>
      </c>
      <c r="G480" s="24"/>
      <c r="H480" s="24"/>
      <c r="I480" s="16" t="s">
        <v>1</v>
      </c>
      <c r="J480" s="19"/>
      <c r="K480" s="24"/>
      <c r="L480" s="16"/>
      <c r="M480" s="19"/>
    </row>
    <row r="481" spans="1:13" ht="12">
      <c r="A481" s="30">
        <v>14</v>
      </c>
      <c r="C481" s="5" t="s">
        <v>116</v>
      </c>
      <c r="E481" s="30">
        <v>14</v>
      </c>
      <c r="H481" s="33">
        <f>SUM(H476:H480)</f>
        <v>693952</v>
      </c>
      <c r="I481" s="34"/>
      <c r="J481" s="33">
        <f>SUM(J476:J480)</f>
        <v>759894</v>
      </c>
      <c r="K481" s="33"/>
      <c r="L481" s="34"/>
      <c r="M481" s="33">
        <f>SUM(M476:M480)</f>
        <v>982880</v>
      </c>
    </row>
    <row r="482" spans="1:13" ht="12">
      <c r="A482" s="30"/>
      <c r="C482" s="27"/>
      <c r="E482" s="30"/>
      <c r="F482" s="24" t="s">
        <v>1</v>
      </c>
      <c r="G482" s="24"/>
      <c r="H482" s="24"/>
      <c r="I482" s="16" t="s">
        <v>1</v>
      </c>
      <c r="J482" s="19"/>
      <c r="K482" s="24"/>
      <c r="L482" s="16"/>
      <c r="M482" s="19"/>
    </row>
    <row r="483" spans="1:13" ht="12">
      <c r="A483" s="30">
        <v>15</v>
      </c>
      <c r="C483" s="4" t="s">
        <v>96</v>
      </c>
      <c r="E483" s="30">
        <v>15</v>
      </c>
      <c r="H483" s="33">
        <f>SUM(H474,H481)</f>
        <v>1549892</v>
      </c>
      <c r="I483" s="34"/>
      <c r="J483" s="33">
        <f>SUM(J474,J481)</f>
        <v>1700382</v>
      </c>
      <c r="K483" s="33"/>
      <c r="L483" s="34"/>
      <c r="M483" s="33">
        <f>SUM(M474,M481)</f>
        <v>1892396</v>
      </c>
    </row>
    <row r="484" spans="1:13" ht="12">
      <c r="A484" s="30"/>
      <c r="C484" s="4"/>
      <c r="E484" s="30"/>
      <c r="H484" s="33"/>
      <c r="I484" s="34"/>
      <c r="J484" s="33"/>
      <c r="K484" s="33"/>
      <c r="L484" s="34"/>
      <c r="M484" s="33"/>
    </row>
    <row r="485" spans="1:13" ht="12">
      <c r="A485" s="30">
        <v>16</v>
      </c>
      <c r="C485" s="4" t="s">
        <v>206</v>
      </c>
      <c r="E485" s="30">
        <v>16</v>
      </c>
      <c r="H485" s="33"/>
      <c r="I485" s="34"/>
      <c r="J485" s="34"/>
      <c r="K485" s="33"/>
      <c r="L485" s="34"/>
      <c r="M485" s="34"/>
    </row>
    <row r="486" spans="1:13" ht="12">
      <c r="A486" s="30">
        <v>17</v>
      </c>
      <c r="C486" s="5" t="s">
        <v>207</v>
      </c>
      <c r="E486" s="30">
        <v>17</v>
      </c>
      <c r="H486" s="33">
        <v>5466858</v>
      </c>
      <c r="I486" s="34"/>
      <c r="J486" s="34">
        <v>1808400</v>
      </c>
      <c r="K486" s="33"/>
      <c r="L486" s="34"/>
      <c r="M486" s="159">
        <v>0</v>
      </c>
    </row>
    <row r="487" spans="1:13" ht="12">
      <c r="A487" s="30">
        <v>18</v>
      </c>
      <c r="E487" s="30">
        <v>18</v>
      </c>
      <c r="H487" s="33"/>
      <c r="I487" s="33"/>
      <c r="J487" s="33"/>
      <c r="K487" s="33"/>
      <c r="L487" s="33"/>
      <c r="M487" s="33"/>
    </row>
    <row r="488" spans="1:13" ht="12">
      <c r="A488" s="30">
        <v>19</v>
      </c>
      <c r="E488" s="30">
        <v>19</v>
      </c>
      <c r="H488" s="33"/>
      <c r="I488" s="33"/>
      <c r="J488" s="33"/>
      <c r="K488" s="33"/>
      <c r="L488" s="33"/>
      <c r="M488" s="33"/>
    </row>
    <row r="489" spans="1:13" ht="12">
      <c r="A489" s="30"/>
      <c r="C489" s="31"/>
      <c r="E489" s="30"/>
      <c r="F489" s="24" t="s">
        <v>1</v>
      </c>
      <c r="G489" s="24"/>
      <c r="H489" s="24"/>
      <c r="I489" s="16" t="s">
        <v>1</v>
      </c>
      <c r="J489" s="19"/>
      <c r="K489" s="24"/>
      <c r="L489" s="16"/>
      <c r="M489" s="19"/>
    </row>
    <row r="490" spans="1:13" ht="12">
      <c r="A490" s="30">
        <v>20</v>
      </c>
      <c r="C490" s="31" t="s">
        <v>97</v>
      </c>
      <c r="E490" s="30">
        <v>20</v>
      </c>
      <c r="H490" s="33">
        <f>SUM(H483:H488)</f>
        <v>7016750</v>
      </c>
      <c r="I490" s="34"/>
      <c r="J490" s="33">
        <f>SUM(J483:J488)</f>
        <v>3508782</v>
      </c>
      <c r="K490" s="33"/>
      <c r="L490" s="34"/>
      <c r="M490" s="33">
        <f>SUM(M483:M488)</f>
        <v>1892396</v>
      </c>
    </row>
    <row r="491" spans="1:13" ht="12">
      <c r="A491" s="37"/>
      <c r="C491" s="4" t="s">
        <v>204</v>
      </c>
      <c r="E491" s="38"/>
      <c r="F491" s="24" t="s">
        <v>1</v>
      </c>
      <c r="G491" s="24"/>
      <c r="H491" s="24"/>
      <c r="I491" s="16" t="s">
        <v>1</v>
      </c>
      <c r="J491" s="19" t="s">
        <v>1</v>
      </c>
      <c r="K491" s="24" t="s">
        <v>1</v>
      </c>
      <c r="L491" s="16" t="s">
        <v>1</v>
      </c>
      <c r="M491" s="19" t="s">
        <v>1</v>
      </c>
    </row>
    <row r="492" spans="6:13" ht="12">
      <c r="F492" s="24"/>
      <c r="G492" s="24"/>
      <c r="H492" s="24"/>
      <c r="I492" s="16"/>
      <c r="J492" s="25"/>
      <c r="K492" s="24"/>
      <c r="L492" s="16"/>
      <c r="M492" s="25"/>
    </row>
    <row r="493" ht="12">
      <c r="A493" s="4"/>
    </row>
    <row r="494" spans="1:13" s="21" customFormat="1" ht="12">
      <c r="A494" s="70" t="str">
        <f>$A$82</f>
        <v>Institution No.:  GFC</v>
      </c>
      <c r="E494" s="20"/>
      <c r="I494" s="22"/>
      <c r="J494" s="23"/>
      <c r="L494" s="22"/>
      <c r="M494" s="69" t="s">
        <v>252</v>
      </c>
    </row>
    <row r="495" spans="4:13" s="21" customFormat="1" ht="12">
      <c r="D495" s="26" t="s">
        <v>251</v>
      </c>
      <c r="E495" s="20"/>
      <c r="I495" s="22"/>
      <c r="J495" s="23"/>
      <c r="L495" s="22"/>
      <c r="M495" s="23"/>
    </row>
    <row r="496" spans="1:13" ht="12">
      <c r="A496" s="70" t="str">
        <f>$A$42</f>
        <v>NAME: UNIVERSITY OF COLORADO AT COLORADO SPRINGS</v>
      </c>
      <c r="F496" s="106"/>
      <c r="G496" s="106"/>
      <c r="H496" s="106"/>
      <c r="I496" s="102"/>
      <c r="J496" s="25"/>
      <c r="L496" s="6"/>
      <c r="M496" s="72" t="str">
        <f>$M$3</f>
        <v>Date: 10/1/2007</v>
      </c>
    </row>
    <row r="497" spans="1:13" ht="12">
      <c r="A497" s="15" t="s">
        <v>1</v>
      </c>
      <c r="B497" s="15" t="s">
        <v>1</v>
      </c>
      <c r="C497" s="15" t="s">
        <v>1</v>
      </c>
      <c r="D497" s="15" t="s">
        <v>1</v>
      </c>
      <c r="E497" s="15" t="s">
        <v>1</v>
      </c>
      <c r="F497" s="15" t="s">
        <v>1</v>
      </c>
      <c r="G497" s="15"/>
      <c r="H497" s="15"/>
      <c r="I497" s="16" t="s">
        <v>1</v>
      </c>
      <c r="J497" s="19" t="s">
        <v>1</v>
      </c>
      <c r="K497" s="15" t="s">
        <v>1</v>
      </c>
      <c r="L497" s="16" t="s">
        <v>1</v>
      </c>
      <c r="M497" s="19" t="s">
        <v>1</v>
      </c>
    </row>
    <row r="498" spans="1:13" ht="12">
      <c r="A498" s="73" t="s">
        <v>2</v>
      </c>
      <c r="E498" s="73" t="s">
        <v>2</v>
      </c>
      <c r="H498" s="1" t="s">
        <v>172</v>
      </c>
      <c r="I498" s="2"/>
      <c r="J498" s="3" t="s">
        <v>280</v>
      </c>
      <c r="K498" s="1"/>
      <c r="L498" s="2"/>
      <c r="M498" s="3" t="s">
        <v>289</v>
      </c>
    </row>
    <row r="499" spans="1:13" ht="12">
      <c r="A499" s="73" t="s">
        <v>4</v>
      </c>
      <c r="C499" s="74" t="s">
        <v>20</v>
      </c>
      <c r="E499" s="73" t="s">
        <v>4</v>
      </c>
      <c r="H499" s="3" t="s">
        <v>7</v>
      </c>
      <c r="I499" s="6"/>
      <c r="J499" s="3" t="s">
        <v>7</v>
      </c>
      <c r="L499" s="6"/>
      <c r="M499" s="3" t="s">
        <v>8</v>
      </c>
    </row>
    <row r="500" spans="1:13" ht="12">
      <c r="A500" s="15" t="s">
        <v>1</v>
      </c>
      <c r="B500" s="15" t="s">
        <v>1</v>
      </c>
      <c r="C500" s="15" t="s">
        <v>1</v>
      </c>
      <c r="D500" s="15" t="s">
        <v>1</v>
      </c>
      <c r="E500" s="15" t="s">
        <v>1</v>
      </c>
      <c r="F500" s="15" t="s">
        <v>1</v>
      </c>
      <c r="G500" s="15"/>
      <c r="H500" s="15"/>
      <c r="I500" s="16" t="s">
        <v>1</v>
      </c>
      <c r="J500" s="19" t="s">
        <v>1</v>
      </c>
      <c r="K500" s="15" t="s">
        <v>1</v>
      </c>
      <c r="L500" s="16" t="s">
        <v>1</v>
      </c>
      <c r="M500" s="19" t="s">
        <v>1</v>
      </c>
    </row>
    <row r="501" spans="1:13" ht="12">
      <c r="A501" s="30">
        <v>1</v>
      </c>
      <c r="C501" s="4" t="s">
        <v>259</v>
      </c>
      <c r="E501" s="30">
        <v>1</v>
      </c>
      <c r="H501" s="33"/>
      <c r="I501" s="34"/>
      <c r="J501" s="34"/>
      <c r="K501" s="33"/>
      <c r="L501" s="34"/>
      <c r="M501" s="34"/>
    </row>
    <row r="502" spans="1:13" ht="12">
      <c r="A502" s="30"/>
      <c r="C502" s="4"/>
      <c r="E502" s="30"/>
      <c r="H502" s="33"/>
      <c r="I502" s="34"/>
      <c r="J502" s="34"/>
      <c r="K502" s="33"/>
      <c r="L502" s="34"/>
      <c r="M502" s="34"/>
    </row>
    <row r="503" spans="1:13" ht="12">
      <c r="A503" s="30">
        <f>(A501+1)</f>
        <v>2</v>
      </c>
      <c r="C503" s="27" t="s">
        <v>260</v>
      </c>
      <c r="E503" s="30">
        <f>(E501+1)</f>
        <v>2</v>
      </c>
      <c r="F503" s="27"/>
      <c r="G503" s="27"/>
      <c r="H503" s="158">
        <v>0</v>
      </c>
      <c r="I503" s="32"/>
      <c r="J503" s="158">
        <v>0</v>
      </c>
      <c r="K503" s="32"/>
      <c r="L503" s="32"/>
      <c r="M503" s="158">
        <v>0</v>
      </c>
    </row>
    <row r="504" spans="1:13" ht="12">
      <c r="A504" s="30">
        <f>(A503+1)</f>
        <v>3</v>
      </c>
      <c r="C504" s="27" t="s">
        <v>253</v>
      </c>
      <c r="E504" s="30">
        <f>(E503+1)</f>
        <v>3</v>
      </c>
      <c r="F504" s="27"/>
      <c r="G504" s="27"/>
      <c r="H504" s="158">
        <v>0</v>
      </c>
      <c r="I504" s="32"/>
      <c r="J504" s="158">
        <v>0</v>
      </c>
      <c r="K504" s="32"/>
      <c r="L504" s="32"/>
      <c r="M504" s="158">
        <v>0</v>
      </c>
    </row>
    <row r="505" spans="1:13" ht="12">
      <c r="A505" s="30">
        <f>(A504+1)</f>
        <v>4</v>
      </c>
      <c r="C505" s="27" t="s">
        <v>254</v>
      </c>
      <c r="E505" s="30">
        <f>(E504+1)</f>
        <v>4</v>
      </c>
      <c r="F505" s="27"/>
      <c r="G505" s="27"/>
      <c r="H505" s="158">
        <v>0</v>
      </c>
      <c r="I505" s="32"/>
      <c r="J505" s="158">
        <v>0</v>
      </c>
      <c r="K505" s="32"/>
      <c r="L505" s="32"/>
      <c r="M505" s="158">
        <v>0</v>
      </c>
    </row>
    <row r="506" spans="1:13" ht="12">
      <c r="A506" s="30"/>
      <c r="C506" s="27"/>
      <c r="E506" s="30"/>
      <c r="F506" s="24" t="s">
        <v>1</v>
      </c>
      <c r="G506" s="24"/>
      <c r="H506" s="16" t="s">
        <v>1</v>
      </c>
      <c r="I506" s="16" t="s">
        <v>1</v>
      </c>
      <c r="J506" s="19"/>
      <c r="K506" s="24"/>
      <c r="L506" s="16"/>
      <c r="M506" s="19"/>
    </row>
    <row r="507" spans="1:13" ht="12">
      <c r="A507" s="30">
        <v>9</v>
      </c>
      <c r="C507" s="5" t="s">
        <v>223</v>
      </c>
      <c r="E507" s="30">
        <v>9</v>
      </c>
      <c r="F507" s="27"/>
      <c r="G507" s="27"/>
      <c r="H507" s="158">
        <f>SUM(H503:H504)</f>
        <v>0</v>
      </c>
      <c r="I507" s="32"/>
      <c r="J507" s="158">
        <f>SUM(J503:J504)</f>
        <v>0</v>
      </c>
      <c r="K507" s="32"/>
      <c r="L507" s="32"/>
      <c r="M507" s="158">
        <f>SUM(M503:M504)</f>
        <v>0</v>
      </c>
    </row>
    <row r="508" spans="1:13" ht="12">
      <c r="A508" s="30"/>
      <c r="C508" s="27"/>
      <c r="E508" s="30"/>
      <c r="F508" s="27"/>
      <c r="G508" s="27"/>
      <c r="H508" s="32"/>
      <c r="I508" s="32"/>
      <c r="J508" s="32"/>
      <c r="K508" s="32"/>
      <c r="L508" s="32"/>
      <c r="M508" s="32"/>
    </row>
    <row r="509" spans="1:13" ht="12">
      <c r="A509" s="30"/>
      <c r="C509" s="27"/>
      <c r="E509" s="30"/>
      <c r="F509" s="27"/>
      <c r="G509" s="27"/>
      <c r="H509" s="32"/>
      <c r="I509" s="32"/>
      <c r="J509" s="32"/>
      <c r="K509" s="32"/>
      <c r="L509" s="32"/>
      <c r="M509" s="32"/>
    </row>
    <row r="510" spans="1:13" ht="12">
      <c r="A510" s="30"/>
      <c r="C510" s="27"/>
      <c r="E510" s="30"/>
      <c r="F510" s="27"/>
      <c r="G510" s="27"/>
      <c r="H510" s="32"/>
      <c r="I510" s="32"/>
      <c r="J510" s="32"/>
      <c r="K510" s="32"/>
      <c r="L510" s="32"/>
      <c r="M510" s="32"/>
    </row>
    <row r="511" spans="1:13" ht="12">
      <c r="A511" s="30"/>
      <c r="C511" s="27"/>
      <c r="E511" s="30"/>
      <c r="F511" s="27"/>
      <c r="G511" s="27"/>
      <c r="H511" s="32"/>
      <c r="I511" s="32"/>
      <c r="J511" s="32"/>
      <c r="K511" s="32"/>
      <c r="L511" s="32"/>
      <c r="M511" s="32"/>
    </row>
    <row r="512" spans="1:13" ht="12">
      <c r="A512" s="30"/>
      <c r="C512" s="27"/>
      <c r="E512" s="30"/>
      <c r="F512" s="27"/>
      <c r="G512" s="27"/>
      <c r="H512" s="32"/>
      <c r="I512" s="32"/>
      <c r="J512" s="32"/>
      <c r="K512" s="32"/>
      <c r="L512" s="32"/>
      <c r="M512" s="32"/>
    </row>
    <row r="513" spans="3:13" ht="12">
      <c r="C513" s="27"/>
      <c r="F513" s="24"/>
      <c r="G513" s="24"/>
      <c r="H513" s="24"/>
      <c r="I513" s="16"/>
      <c r="J513" s="19"/>
      <c r="K513" s="24"/>
      <c r="L513" s="16"/>
      <c r="M513" s="19"/>
    </row>
    <row r="514" spans="1:13" ht="12">
      <c r="A514" s="30"/>
      <c r="E514" s="30"/>
      <c r="H514" s="33"/>
      <c r="I514" s="34"/>
      <c r="J514" s="33"/>
      <c r="K514" s="33"/>
      <c r="L514" s="34"/>
      <c r="M514" s="33"/>
    </row>
    <row r="515" spans="1:13" ht="12">
      <c r="A515" s="30"/>
      <c r="C515" s="27"/>
      <c r="E515" s="30"/>
      <c r="F515" s="24"/>
      <c r="G515" s="24"/>
      <c r="H515" s="24"/>
      <c r="I515" s="16"/>
      <c r="J515" s="19"/>
      <c r="K515" s="24"/>
      <c r="L515" s="16"/>
      <c r="M515" s="19"/>
    </row>
    <row r="516" spans="1:13" ht="12">
      <c r="A516" s="30"/>
      <c r="C516" s="4"/>
      <c r="E516" s="30"/>
      <c r="H516" s="33"/>
      <c r="I516" s="34"/>
      <c r="J516" s="33"/>
      <c r="K516" s="33"/>
      <c r="L516" s="34"/>
      <c r="M516" s="33"/>
    </row>
    <row r="517" spans="1:13" ht="12">
      <c r="A517" s="30"/>
      <c r="C517" s="4"/>
      <c r="E517" s="30"/>
      <c r="H517" s="33"/>
      <c r="I517" s="34"/>
      <c r="J517" s="33"/>
      <c r="K517" s="33"/>
      <c r="L517" s="34"/>
      <c r="M517" s="33"/>
    </row>
    <row r="518" spans="1:13" ht="12">
      <c r="A518" s="30"/>
      <c r="C518" s="4"/>
      <c r="E518" s="30"/>
      <c r="H518" s="33"/>
      <c r="I518" s="34"/>
      <c r="J518" s="34"/>
      <c r="K518" s="33"/>
      <c r="L518" s="34"/>
      <c r="M518" s="34"/>
    </row>
    <row r="519" spans="1:13" ht="12">
      <c r="A519" s="30"/>
      <c r="E519" s="30"/>
      <c r="H519" s="33"/>
      <c r="I519" s="34"/>
      <c r="J519" s="34"/>
      <c r="K519" s="33"/>
      <c r="L519" s="34"/>
      <c r="M519" s="34"/>
    </row>
    <row r="520" spans="1:13" ht="12">
      <c r="A520" s="30"/>
      <c r="E520" s="30"/>
      <c r="H520" s="33"/>
      <c r="I520" s="33"/>
      <c r="J520" s="33"/>
      <c r="K520" s="33"/>
      <c r="L520" s="33"/>
      <c r="M520" s="33"/>
    </row>
    <row r="521" spans="1:13" ht="12">
      <c r="A521" s="30"/>
      <c r="E521" s="30"/>
      <c r="H521" s="33"/>
      <c r="I521" s="33"/>
      <c r="J521" s="33"/>
      <c r="K521" s="33"/>
      <c r="L521" s="33"/>
      <c r="M521" s="33"/>
    </row>
    <row r="522" spans="1:13" ht="12">
      <c r="A522" s="30"/>
      <c r="C522" s="31"/>
      <c r="E522" s="30"/>
      <c r="F522" s="24"/>
      <c r="G522" s="24"/>
      <c r="H522" s="24"/>
      <c r="I522" s="16"/>
      <c r="J522" s="19"/>
      <c r="K522" s="24"/>
      <c r="L522" s="16"/>
      <c r="M522" s="19"/>
    </row>
    <row r="523" spans="1:13" ht="12">
      <c r="A523" s="30"/>
      <c r="C523" s="31"/>
      <c r="E523" s="30"/>
      <c r="H523" s="33"/>
      <c r="I523" s="34"/>
      <c r="J523" s="33"/>
      <c r="K523" s="33"/>
      <c r="L523" s="34"/>
      <c r="M523" s="33"/>
    </row>
    <row r="524" spans="1:13" ht="12">
      <c r="A524" s="37"/>
      <c r="C524" s="4"/>
      <c r="E524" s="38"/>
      <c r="F524" s="24"/>
      <c r="G524" s="24"/>
      <c r="H524" s="24"/>
      <c r="I524" s="16"/>
      <c r="J524" s="19"/>
      <c r="K524" s="24"/>
      <c r="L524" s="16"/>
      <c r="M524" s="19"/>
    </row>
    <row r="527" spans="1:13" s="21" customFormat="1" ht="12">
      <c r="A527" s="70" t="str">
        <f>$A$82</f>
        <v>Institution No.:  GFC</v>
      </c>
      <c r="E527" s="20"/>
      <c r="I527" s="22"/>
      <c r="J527" s="23"/>
      <c r="L527" s="22"/>
      <c r="M527" s="69" t="s">
        <v>89</v>
      </c>
    </row>
    <row r="528" spans="1:13" ht="12.75" customHeight="1">
      <c r="A528" s="423" t="s">
        <v>242</v>
      </c>
      <c r="B528" s="423"/>
      <c r="C528" s="423"/>
      <c r="D528" s="423"/>
      <c r="E528" s="423"/>
      <c r="F528" s="423"/>
      <c r="G528" s="423"/>
      <c r="H528" s="423"/>
      <c r="I528" s="423"/>
      <c r="J528" s="423"/>
      <c r="K528" s="423"/>
      <c r="L528" s="423"/>
      <c r="M528" s="423"/>
    </row>
    <row r="529" spans="1:13" ht="12">
      <c r="A529" s="70" t="str">
        <f>$A$42</f>
        <v>NAME: UNIVERSITY OF COLORADO AT COLORADO SPRINGS</v>
      </c>
      <c r="J529" s="25"/>
      <c r="L529" s="6"/>
      <c r="M529" s="72" t="str">
        <f>$M$3</f>
        <v>Date: 10/1/2007</v>
      </c>
    </row>
    <row r="530" spans="1:13" ht="12">
      <c r="A530" s="15" t="s">
        <v>1</v>
      </c>
      <c r="B530" s="15" t="s">
        <v>1</v>
      </c>
      <c r="C530" s="15" t="s">
        <v>1</v>
      </c>
      <c r="D530" s="15" t="s">
        <v>1</v>
      </c>
      <c r="E530" s="15" t="s">
        <v>1</v>
      </c>
      <c r="F530" s="15" t="s">
        <v>1</v>
      </c>
      <c r="G530" s="15"/>
      <c r="H530" s="15"/>
      <c r="I530" s="16" t="s">
        <v>1</v>
      </c>
      <c r="J530" s="19" t="s">
        <v>1</v>
      </c>
      <c r="K530" s="15" t="s">
        <v>1</v>
      </c>
      <c r="L530" s="16" t="s">
        <v>1</v>
      </c>
      <c r="M530" s="19" t="s">
        <v>1</v>
      </c>
    </row>
    <row r="531" spans="1:13" ht="12">
      <c r="A531" s="73" t="s">
        <v>2</v>
      </c>
      <c r="E531" s="73" t="s">
        <v>2</v>
      </c>
      <c r="F531" s="1"/>
      <c r="G531" s="1"/>
      <c r="H531" s="1" t="s">
        <v>172</v>
      </c>
      <c r="I531" s="2"/>
      <c r="J531" s="3" t="s">
        <v>280</v>
      </c>
      <c r="K531" s="1"/>
      <c r="L531" s="2"/>
      <c r="M531" s="3" t="s">
        <v>289</v>
      </c>
    </row>
    <row r="532" spans="1:13" ht="12">
      <c r="A532" s="73" t="s">
        <v>4</v>
      </c>
      <c r="C532" s="74" t="s">
        <v>20</v>
      </c>
      <c r="E532" s="73" t="s">
        <v>4</v>
      </c>
      <c r="F532" s="1"/>
      <c r="G532" s="1"/>
      <c r="H532" s="3" t="s">
        <v>7</v>
      </c>
      <c r="I532" s="2"/>
      <c r="J532" s="3" t="s">
        <v>7</v>
      </c>
      <c r="K532" s="1"/>
      <c r="L532" s="2"/>
      <c r="M532" s="3" t="s">
        <v>8</v>
      </c>
    </row>
    <row r="533" spans="1:13" ht="12">
      <c r="A533" s="15" t="s">
        <v>1</v>
      </c>
      <c r="B533" s="15" t="s">
        <v>1</v>
      </c>
      <c r="C533" s="15" t="s">
        <v>1</v>
      </c>
      <c r="D533" s="15" t="s">
        <v>1</v>
      </c>
      <c r="E533" s="15" t="s">
        <v>1</v>
      </c>
      <c r="F533" s="15" t="s">
        <v>1</v>
      </c>
      <c r="G533" s="15"/>
      <c r="H533" s="15"/>
      <c r="I533" s="16" t="s">
        <v>1</v>
      </c>
      <c r="J533" s="19" t="s">
        <v>1</v>
      </c>
      <c r="K533" s="15" t="s">
        <v>1</v>
      </c>
      <c r="L533" s="16" t="s">
        <v>1</v>
      </c>
      <c r="M533" s="19" t="s">
        <v>1</v>
      </c>
    </row>
    <row r="534" spans="1:13" ht="12">
      <c r="A534" s="107">
        <v>1</v>
      </c>
      <c r="C534" s="4" t="s">
        <v>90</v>
      </c>
      <c r="E534" s="107">
        <v>1</v>
      </c>
      <c r="F534" s="27"/>
      <c r="G534" s="27"/>
      <c r="H534" s="27"/>
      <c r="I534" s="39"/>
      <c r="K534" s="27"/>
      <c r="L534" s="39"/>
      <c r="M534" s="40"/>
    </row>
    <row r="535" spans="1:13" ht="12">
      <c r="A535" s="107">
        <f aca="true" t="shared" si="14" ref="A535:A557">(A534+1)</f>
        <v>2</v>
      </c>
      <c r="C535" s="4" t="s">
        <v>283</v>
      </c>
      <c r="E535" s="107">
        <f aca="true" t="shared" si="15" ref="E535:E557">(E534+1)</f>
        <v>2</v>
      </c>
      <c r="F535" s="27"/>
      <c r="G535" s="27"/>
      <c r="H535" s="29">
        <v>12060846</v>
      </c>
      <c r="I535" s="29"/>
      <c r="J535" s="29">
        <v>12752079</v>
      </c>
      <c r="K535" s="29"/>
      <c r="L535" s="29"/>
      <c r="M535" s="29">
        <v>13692713</v>
      </c>
    </row>
    <row r="536" spans="1:13" ht="12">
      <c r="A536" s="107">
        <f t="shared" si="14"/>
        <v>3</v>
      </c>
      <c r="C536" s="4"/>
      <c r="E536" s="107">
        <f t="shared" si="15"/>
        <v>3</v>
      </c>
      <c r="F536" s="27"/>
      <c r="G536" s="27"/>
      <c r="H536" s="29"/>
      <c r="I536" s="29"/>
      <c r="J536" s="29"/>
      <c r="K536" s="29"/>
      <c r="L536" s="29"/>
      <c r="M536" s="29"/>
    </row>
    <row r="537" spans="1:13" ht="12">
      <c r="A537" s="107">
        <f t="shared" si="14"/>
        <v>4</v>
      </c>
      <c r="C537" s="4"/>
      <c r="E537" s="107">
        <f t="shared" si="15"/>
        <v>4</v>
      </c>
      <c r="F537" s="27"/>
      <c r="G537" s="27"/>
      <c r="H537" s="29"/>
      <c r="I537" s="29"/>
      <c r="J537" s="29"/>
      <c r="K537" s="29"/>
      <c r="L537" s="29"/>
      <c r="M537" s="29"/>
    </row>
    <row r="538" spans="1:13" ht="12">
      <c r="A538" s="107">
        <f>(A537+1)</f>
        <v>5</v>
      </c>
      <c r="C538" s="27"/>
      <c r="E538" s="107">
        <f>(E537+1)</f>
        <v>5</v>
      </c>
      <c r="F538" s="27"/>
      <c r="G538" s="27"/>
      <c r="H538" s="29"/>
      <c r="I538" s="29"/>
      <c r="J538" s="29"/>
      <c r="K538" s="29"/>
      <c r="L538" s="29"/>
      <c r="M538" s="29"/>
    </row>
    <row r="539" spans="1:13" ht="12">
      <c r="A539" s="107">
        <f t="shared" si="14"/>
        <v>6</v>
      </c>
      <c r="C539" s="27"/>
      <c r="E539" s="107">
        <f t="shared" si="15"/>
        <v>6</v>
      </c>
      <c r="F539" s="27"/>
      <c r="G539" s="27"/>
      <c r="H539" s="29"/>
      <c r="I539" s="29"/>
      <c r="J539" s="29"/>
      <c r="K539" s="29"/>
      <c r="L539" s="29"/>
      <c r="M539" s="29"/>
    </row>
    <row r="540" spans="1:13" ht="12">
      <c r="A540" s="107">
        <f t="shared" si="14"/>
        <v>7</v>
      </c>
      <c r="C540" s="4" t="s">
        <v>91</v>
      </c>
      <c r="E540" s="107">
        <f t="shared" si="15"/>
        <v>7</v>
      </c>
      <c r="F540" s="27"/>
      <c r="G540" s="27"/>
      <c r="H540" s="29"/>
      <c r="I540" s="29"/>
      <c r="J540" s="29"/>
      <c r="K540" s="29"/>
      <c r="L540" s="29"/>
      <c r="M540" s="29"/>
    </row>
    <row r="541" spans="1:13" ht="12">
      <c r="A541" s="107">
        <f t="shared" si="14"/>
        <v>8</v>
      </c>
      <c r="C541" s="27"/>
      <c r="E541" s="107">
        <f t="shared" si="15"/>
        <v>8</v>
      </c>
      <c r="F541" s="27"/>
      <c r="G541" s="27"/>
      <c r="H541" s="29">
        <v>0</v>
      </c>
      <c r="I541" s="29"/>
      <c r="J541" s="29">
        <v>0</v>
      </c>
      <c r="K541" s="29"/>
      <c r="L541" s="29"/>
      <c r="M541" s="29"/>
    </row>
    <row r="542" spans="1:13" ht="12">
      <c r="A542" s="107">
        <f t="shared" si="14"/>
        <v>9</v>
      </c>
      <c r="C542" s="27"/>
      <c r="E542" s="107">
        <f t="shared" si="15"/>
        <v>9</v>
      </c>
      <c r="F542" s="27"/>
      <c r="G542" s="27"/>
      <c r="H542" s="29"/>
      <c r="I542" s="29"/>
      <c r="J542" s="29"/>
      <c r="K542" s="29"/>
      <c r="L542" s="29"/>
      <c r="M542" s="29"/>
    </row>
    <row r="543" spans="1:13" ht="12">
      <c r="A543" s="107">
        <f t="shared" si="14"/>
        <v>10</v>
      </c>
      <c r="E543" s="107">
        <f t="shared" si="15"/>
        <v>10</v>
      </c>
      <c r="F543" s="27"/>
      <c r="G543" s="27"/>
      <c r="H543" s="29"/>
      <c r="I543" s="29"/>
      <c r="J543" s="29"/>
      <c r="K543" s="29"/>
      <c r="L543" s="29"/>
      <c r="M543" s="29"/>
    </row>
    <row r="544" spans="1:13" ht="12">
      <c r="A544" s="107">
        <f t="shared" si="14"/>
        <v>11</v>
      </c>
      <c r="E544" s="107">
        <f t="shared" si="15"/>
        <v>11</v>
      </c>
      <c r="F544" s="27"/>
      <c r="G544" s="27"/>
      <c r="H544" s="29"/>
      <c r="I544" s="29"/>
      <c r="J544" s="29"/>
      <c r="K544" s="29"/>
      <c r="L544" s="29"/>
      <c r="M544" s="29"/>
    </row>
    <row r="545" spans="1:13" ht="12">
      <c r="A545" s="107">
        <f t="shared" si="14"/>
        <v>12</v>
      </c>
      <c r="E545" s="107">
        <f t="shared" si="15"/>
        <v>12</v>
      </c>
      <c r="F545" s="27"/>
      <c r="G545" s="27"/>
      <c r="H545" s="29"/>
      <c r="I545" s="29"/>
      <c r="J545" s="29"/>
      <c r="K545" s="29"/>
      <c r="L545" s="29"/>
      <c r="M545" s="29"/>
    </row>
    <row r="546" spans="1:13" ht="12">
      <c r="A546" s="107">
        <f t="shared" si="14"/>
        <v>13</v>
      </c>
      <c r="C546" s="27"/>
      <c r="E546" s="107">
        <f t="shared" si="15"/>
        <v>13</v>
      </c>
      <c r="F546" s="27"/>
      <c r="G546" s="27"/>
      <c r="H546" s="29"/>
      <c r="I546" s="29"/>
      <c r="J546" s="29"/>
      <c r="K546" s="29"/>
      <c r="L546" s="29"/>
      <c r="M546" s="29"/>
    </row>
    <row r="547" spans="1:13" ht="12">
      <c r="A547" s="107">
        <f t="shared" si="14"/>
        <v>14</v>
      </c>
      <c r="C547" s="27" t="s">
        <v>196</v>
      </c>
      <c r="E547" s="107">
        <f t="shared" si="15"/>
        <v>14</v>
      </c>
      <c r="F547" s="27"/>
      <c r="G547" s="27"/>
      <c r="H547" s="29"/>
      <c r="I547" s="29"/>
      <c r="J547" s="29"/>
      <c r="K547" s="29"/>
      <c r="L547" s="29"/>
      <c r="M547" s="29"/>
    </row>
    <row r="548" spans="1:13" ht="12">
      <c r="A548" s="107">
        <f t="shared" si="14"/>
        <v>15</v>
      </c>
      <c r="C548" s="27"/>
      <c r="E548" s="107">
        <f t="shared" si="15"/>
        <v>15</v>
      </c>
      <c r="F548" s="27"/>
      <c r="G548" s="27"/>
      <c r="H548" s="29">
        <v>0</v>
      </c>
      <c r="I548" s="29"/>
      <c r="J548" s="29">
        <v>0</v>
      </c>
      <c r="K548" s="29"/>
      <c r="L548" s="29"/>
      <c r="M548" s="29"/>
    </row>
    <row r="549" spans="1:13" ht="12">
      <c r="A549" s="107">
        <f t="shared" si="14"/>
        <v>16</v>
      </c>
      <c r="C549" s="27"/>
      <c r="E549" s="107">
        <f t="shared" si="15"/>
        <v>16</v>
      </c>
      <c r="F549" s="27"/>
      <c r="G549" s="27"/>
      <c r="H549" s="29"/>
      <c r="I549" s="29"/>
      <c r="J549" s="29"/>
      <c r="K549" s="29"/>
      <c r="L549" s="29"/>
      <c r="M549" s="29"/>
    </row>
    <row r="550" spans="1:13" ht="12">
      <c r="A550" s="107">
        <f t="shared" si="14"/>
        <v>17</v>
      </c>
      <c r="C550" s="27"/>
      <c r="E550" s="107">
        <f t="shared" si="15"/>
        <v>17</v>
      </c>
      <c r="F550" s="27"/>
      <c r="G550" s="27"/>
      <c r="H550" s="29"/>
      <c r="I550" s="29"/>
      <c r="J550" s="29"/>
      <c r="K550" s="29"/>
      <c r="L550" s="29"/>
      <c r="M550" s="29"/>
    </row>
    <row r="551" spans="1:13" ht="12">
      <c r="A551" s="107">
        <f t="shared" si="14"/>
        <v>18</v>
      </c>
      <c r="C551" s="27"/>
      <c r="E551" s="107">
        <f t="shared" si="15"/>
        <v>18</v>
      </c>
      <c r="F551" s="27"/>
      <c r="G551" s="27"/>
      <c r="H551" s="29"/>
      <c r="I551" s="29"/>
      <c r="J551" s="29"/>
      <c r="K551" s="29"/>
      <c r="L551" s="29"/>
      <c r="M551" s="29"/>
    </row>
    <row r="552" spans="1:13" ht="12">
      <c r="A552" s="107">
        <f t="shared" si="14"/>
        <v>19</v>
      </c>
      <c r="C552" s="27"/>
      <c r="E552" s="107">
        <f t="shared" si="15"/>
        <v>19</v>
      </c>
      <c r="F552" s="27"/>
      <c r="G552" s="27"/>
      <c r="H552" s="29"/>
      <c r="I552" s="29"/>
      <c r="J552" s="29"/>
      <c r="K552" s="29"/>
      <c r="L552" s="29"/>
      <c r="M552" s="29"/>
    </row>
    <row r="553" spans="1:13" ht="12">
      <c r="A553" s="107">
        <f t="shared" si="14"/>
        <v>20</v>
      </c>
      <c r="C553" s="27"/>
      <c r="E553" s="107">
        <f t="shared" si="15"/>
        <v>20</v>
      </c>
      <c r="F553" s="27"/>
      <c r="G553" s="27"/>
      <c r="H553" s="29"/>
      <c r="I553" s="29"/>
      <c r="J553" s="29"/>
      <c r="K553" s="29"/>
      <c r="L553" s="29"/>
      <c r="M553" s="29"/>
    </row>
    <row r="554" spans="1:13" ht="12">
      <c r="A554" s="107">
        <f t="shared" si="14"/>
        <v>21</v>
      </c>
      <c r="C554" s="27"/>
      <c r="E554" s="107">
        <f t="shared" si="15"/>
        <v>21</v>
      </c>
      <c r="F554" s="27"/>
      <c r="G554" s="27"/>
      <c r="H554" s="29"/>
      <c r="I554" s="29"/>
      <c r="J554" s="29"/>
      <c r="K554" s="29"/>
      <c r="L554" s="29"/>
      <c r="M554" s="29"/>
    </row>
    <row r="555" spans="1:13" ht="12">
      <c r="A555" s="107">
        <f t="shared" si="14"/>
        <v>22</v>
      </c>
      <c r="C555" s="27"/>
      <c r="E555" s="107">
        <f t="shared" si="15"/>
        <v>22</v>
      </c>
      <c r="F555" s="27"/>
      <c r="G555" s="27"/>
      <c r="H555" s="29"/>
      <c r="I555" s="29"/>
      <c r="J555" s="29"/>
      <c r="K555" s="29"/>
      <c r="L555" s="29"/>
      <c r="M555" s="29"/>
    </row>
    <row r="556" spans="1:13" ht="12">
      <c r="A556" s="107">
        <f t="shared" si="14"/>
        <v>23</v>
      </c>
      <c r="C556" s="27"/>
      <c r="E556" s="107">
        <f t="shared" si="15"/>
        <v>23</v>
      </c>
      <c r="F556" s="27"/>
      <c r="G556" s="27"/>
      <c r="H556" s="29"/>
      <c r="I556" s="29"/>
      <c r="J556" s="29"/>
      <c r="K556" s="29"/>
      <c r="L556" s="29"/>
      <c r="M556" s="29"/>
    </row>
    <row r="557" spans="1:13" ht="12">
      <c r="A557" s="107">
        <f t="shared" si="14"/>
        <v>24</v>
      </c>
      <c r="C557" s="27"/>
      <c r="E557" s="107">
        <f t="shared" si="15"/>
        <v>24</v>
      </c>
      <c r="F557" s="27"/>
      <c r="G557" s="27"/>
      <c r="H557" s="29"/>
      <c r="I557" s="29"/>
      <c r="J557" s="29"/>
      <c r="K557" s="29"/>
      <c r="L557" s="29"/>
      <c r="M557" s="29"/>
    </row>
    <row r="558" spans="1:13" ht="12">
      <c r="A558" s="108"/>
      <c r="E558" s="108"/>
      <c r="F558" s="24" t="s">
        <v>1</v>
      </c>
      <c r="G558" s="24"/>
      <c r="H558" s="24"/>
      <c r="I558" s="16" t="s">
        <v>1</v>
      </c>
      <c r="J558" s="19"/>
      <c r="K558" s="24"/>
      <c r="L558" s="16"/>
      <c r="M558" s="19"/>
    </row>
    <row r="559" spans="1:13" ht="12">
      <c r="A559" s="107">
        <f>(A557+1)</f>
        <v>25</v>
      </c>
      <c r="C559" s="4" t="s">
        <v>197</v>
      </c>
      <c r="E559" s="107">
        <f>(E557+1)</f>
        <v>25</v>
      </c>
      <c r="H559" s="44">
        <f>SUM(H534:H557)</f>
        <v>12060846</v>
      </c>
      <c r="I559" s="49"/>
      <c r="J559" s="44">
        <f>SUM(J534:J557)</f>
        <v>12752079</v>
      </c>
      <c r="K559" s="44"/>
      <c r="L559" s="49"/>
      <c r="M559" s="44">
        <f>SUM(M534:M557)</f>
        <v>13692713</v>
      </c>
    </row>
    <row r="560" spans="1:13" ht="12">
      <c r="A560" s="107"/>
      <c r="C560" s="4"/>
      <c r="E560" s="107"/>
      <c r="F560" s="24" t="s">
        <v>1</v>
      </c>
      <c r="G560" s="24"/>
      <c r="H560" s="24"/>
      <c r="I560" s="16" t="s">
        <v>1</v>
      </c>
      <c r="J560" s="19"/>
      <c r="K560" s="24"/>
      <c r="L560" s="16"/>
      <c r="M560" s="19"/>
    </row>
    <row r="561" ht="12">
      <c r="E561" s="38"/>
    </row>
    <row r="562" ht="12">
      <c r="E562" s="38"/>
    </row>
    <row r="564" spans="1:13" ht="12">
      <c r="A564" s="70" t="str">
        <f>$A$82</f>
        <v>Institution No.:  GFC</v>
      </c>
      <c r="B564" s="21"/>
      <c r="C564" s="21"/>
      <c r="D564" s="21"/>
      <c r="E564" s="20"/>
      <c r="F564" s="21"/>
      <c r="G564" s="21"/>
      <c r="H564" s="21"/>
      <c r="I564" s="22"/>
      <c r="J564" s="23"/>
      <c r="K564" s="21"/>
      <c r="L564" s="22"/>
      <c r="M564" s="69" t="s">
        <v>198</v>
      </c>
    </row>
    <row r="565" spans="1:13" ht="12">
      <c r="A565" s="423" t="s">
        <v>292</v>
      </c>
      <c r="B565" s="423"/>
      <c r="C565" s="423"/>
      <c r="D565" s="423"/>
      <c r="E565" s="423"/>
      <c r="F565" s="423"/>
      <c r="G565" s="423"/>
      <c r="H565" s="423"/>
      <c r="I565" s="423"/>
      <c r="J565" s="423"/>
      <c r="K565" s="423"/>
      <c r="L565" s="423"/>
      <c r="M565" s="423"/>
    </row>
    <row r="566" spans="1:13" ht="12">
      <c r="A566" s="70" t="str">
        <f>$A$42</f>
        <v>NAME: UNIVERSITY OF COLORADO AT COLORADO SPRINGS</v>
      </c>
      <c r="J566" s="25"/>
      <c r="L566" s="6"/>
      <c r="M566" s="72" t="str">
        <f>$M$3</f>
        <v>Date: 10/1/2007</v>
      </c>
    </row>
    <row r="567" spans="1:13" ht="12">
      <c r="A567" s="15" t="s">
        <v>1</v>
      </c>
      <c r="B567" s="15" t="s">
        <v>1</v>
      </c>
      <c r="C567" s="15" t="s">
        <v>1</v>
      </c>
      <c r="D567" s="15" t="s">
        <v>1</v>
      </c>
      <c r="E567" s="15" t="s">
        <v>1</v>
      </c>
      <c r="F567" s="15" t="s">
        <v>1</v>
      </c>
      <c r="G567" s="15"/>
      <c r="H567" s="15"/>
      <c r="I567" s="16" t="s">
        <v>1</v>
      </c>
      <c r="J567" s="19" t="s">
        <v>1</v>
      </c>
      <c r="K567" s="15" t="s">
        <v>1</v>
      </c>
      <c r="L567" s="16" t="s">
        <v>1</v>
      </c>
      <c r="M567" s="19" t="s">
        <v>1</v>
      </c>
    </row>
    <row r="568" spans="1:13" ht="12">
      <c r="A568" s="73" t="s">
        <v>2</v>
      </c>
      <c r="E568" s="73" t="s">
        <v>2</v>
      </c>
      <c r="F568" s="1"/>
      <c r="G568" s="1"/>
      <c r="H568" s="1" t="s">
        <v>172</v>
      </c>
      <c r="I568" s="2"/>
      <c r="J568" s="3" t="s">
        <v>280</v>
      </c>
      <c r="K568" s="1"/>
      <c r="L568" s="2"/>
      <c r="M568" s="3" t="s">
        <v>289</v>
      </c>
    </row>
    <row r="569" spans="1:13" ht="12">
      <c r="A569" s="73" t="s">
        <v>4</v>
      </c>
      <c r="C569" s="74" t="s">
        <v>20</v>
      </c>
      <c r="E569" s="73" t="s">
        <v>4</v>
      </c>
      <c r="F569" s="1"/>
      <c r="G569" s="1"/>
      <c r="H569" s="3" t="s">
        <v>7</v>
      </c>
      <c r="I569" s="2"/>
      <c r="J569" s="3" t="s">
        <v>7</v>
      </c>
      <c r="K569" s="1"/>
      <c r="L569" s="2"/>
      <c r="M569" s="3" t="s">
        <v>8</v>
      </c>
    </row>
    <row r="570" spans="1:13" ht="12">
      <c r="A570" s="15" t="s">
        <v>1</v>
      </c>
      <c r="B570" s="15" t="s">
        <v>1</v>
      </c>
      <c r="C570" s="15" t="s">
        <v>1</v>
      </c>
      <c r="D570" s="15" t="s">
        <v>1</v>
      </c>
      <c r="E570" s="15" t="s">
        <v>1</v>
      </c>
      <c r="F570" s="15" t="s">
        <v>1</v>
      </c>
      <c r="G570" s="15"/>
      <c r="H570" s="15"/>
      <c r="I570" s="16" t="s">
        <v>1</v>
      </c>
      <c r="J570" s="19" t="s">
        <v>1</v>
      </c>
      <c r="K570" s="15" t="s">
        <v>1</v>
      </c>
      <c r="L570" s="16" t="s">
        <v>1</v>
      </c>
      <c r="M570" s="19" t="s">
        <v>1</v>
      </c>
    </row>
    <row r="571" spans="1:13" ht="12">
      <c r="A571" s="5">
        <v>1</v>
      </c>
      <c r="C571" s="5" t="s">
        <v>311</v>
      </c>
      <c r="E571" s="5">
        <v>1</v>
      </c>
      <c r="H571" s="109">
        <v>5100711</v>
      </c>
      <c r="I571" s="109"/>
      <c r="J571" s="109">
        <v>5500380</v>
      </c>
      <c r="K571" s="109"/>
      <c r="L571" s="109"/>
      <c r="M571" s="109">
        <v>8037123</v>
      </c>
    </row>
    <row r="572" ht="12">
      <c r="E572" s="38"/>
    </row>
    <row r="573" ht="12">
      <c r="E573" s="38"/>
    </row>
    <row r="574" ht="12">
      <c r="E574" s="38"/>
    </row>
    <row r="575" ht="12">
      <c r="E575" s="38"/>
    </row>
    <row r="576" ht="12">
      <c r="E576" s="38"/>
    </row>
    <row r="577" ht="12">
      <c r="E577" s="38"/>
    </row>
    <row r="578" ht="12">
      <c r="E578" s="38"/>
    </row>
    <row r="579" ht="12">
      <c r="E579" s="38"/>
    </row>
    <row r="580" ht="12">
      <c r="E580" s="38"/>
    </row>
    <row r="581" ht="12">
      <c r="E581" s="38"/>
    </row>
    <row r="582" ht="12">
      <c r="E582" s="38"/>
    </row>
    <row r="583" ht="12">
      <c r="E583" s="38"/>
    </row>
    <row r="584" ht="12">
      <c r="E584" s="38"/>
    </row>
    <row r="585" ht="12">
      <c r="E585" s="38"/>
    </row>
    <row r="586" spans="2:6" ht="12.75">
      <c r="B586" s="83"/>
      <c r="C586" s="84"/>
      <c r="D586" s="85"/>
      <c r="E586" s="85"/>
      <c r="F586" s="85"/>
    </row>
    <row r="587" spans="2:6" ht="12.75">
      <c r="B587" s="83"/>
      <c r="C587" s="84"/>
      <c r="D587" s="85"/>
      <c r="E587" s="85"/>
      <c r="F587" s="85"/>
    </row>
    <row r="588" ht="12">
      <c r="E588" s="38"/>
    </row>
    <row r="589" ht="12">
      <c r="E589" s="38"/>
    </row>
    <row r="590" ht="12">
      <c r="E590" s="38"/>
    </row>
    <row r="591" ht="12">
      <c r="E591" s="38"/>
    </row>
    <row r="592" ht="12">
      <c r="E592" s="38"/>
    </row>
    <row r="593" ht="12">
      <c r="E593" s="38"/>
    </row>
    <row r="594" ht="12">
      <c r="E594" s="38"/>
    </row>
    <row r="595" ht="12">
      <c r="E595" s="38"/>
    </row>
    <row r="596" ht="12">
      <c r="E596" s="38"/>
    </row>
    <row r="597" ht="12">
      <c r="E597" s="38"/>
    </row>
    <row r="598" ht="12">
      <c r="E598" s="38"/>
    </row>
    <row r="599" ht="12">
      <c r="E599" s="38"/>
    </row>
    <row r="600" ht="12">
      <c r="E600" s="38"/>
    </row>
    <row r="601" spans="5:13" ht="12">
      <c r="E601" s="38"/>
      <c r="I601" s="6"/>
      <c r="J601" s="25"/>
      <c r="L601" s="6"/>
      <c r="M601" s="25"/>
    </row>
    <row r="602" spans="1:13" s="21" customFormat="1" ht="12">
      <c r="A602" s="70" t="str">
        <f>$A$82</f>
        <v>Institution No.:  GFC</v>
      </c>
      <c r="E602" s="20"/>
      <c r="I602" s="22"/>
      <c r="J602" s="23"/>
      <c r="L602" s="22"/>
      <c r="M602" s="69" t="s">
        <v>22</v>
      </c>
    </row>
    <row r="603" spans="1:13" s="21" customFormat="1" ht="12">
      <c r="A603" s="434" t="s">
        <v>159</v>
      </c>
      <c r="B603" s="434"/>
      <c r="C603" s="434"/>
      <c r="D603" s="434"/>
      <c r="E603" s="434"/>
      <c r="F603" s="434"/>
      <c r="G603" s="434"/>
      <c r="H603" s="434"/>
      <c r="I603" s="434"/>
      <c r="J603" s="434"/>
      <c r="K603" s="434"/>
      <c r="L603" s="434"/>
      <c r="M603" s="434"/>
    </row>
    <row r="604" spans="1:13" ht="12">
      <c r="A604" s="70" t="str">
        <f>$A$42</f>
        <v>NAME: UNIVERSITY OF COLORADO AT COLORADO SPRINGS</v>
      </c>
      <c r="I604" s="110"/>
      <c r="J604" s="25"/>
      <c r="L604" s="6"/>
      <c r="M604" s="72" t="str">
        <f>$M$3</f>
        <v>Date: 10/1/2007</v>
      </c>
    </row>
    <row r="605" spans="1:13" ht="12">
      <c r="A605" s="15" t="s">
        <v>1</v>
      </c>
      <c r="B605" s="15" t="s">
        <v>1</v>
      </c>
      <c r="C605" s="15" t="s">
        <v>1</v>
      </c>
      <c r="D605" s="15" t="s">
        <v>1</v>
      </c>
      <c r="E605" s="15" t="s">
        <v>1</v>
      </c>
      <c r="F605" s="15" t="s">
        <v>1</v>
      </c>
      <c r="G605" s="15"/>
      <c r="H605" s="15"/>
      <c r="I605" s="16" t="s">
        <v>1</v>
      </c>
      <c r="J605" s="19" t="s">
        <v>1</v>
      </c>
      <c r="K605" s="15" t="s">
        <v>1</v>
      </c>
      <c r="L605" s="16" t="s">
        <v>1</v>
      </c>
      <c r="M605" s="19" t="s">
        <v>1</v>
      </c>
    </row>
    <row r="606" spans="1:13" ht="12">
      <c r="A606" s="73" t="s">
        <v>2</v>
      </c>
      <c r="E606" s="73" t="s">
        <v>2</v>
      </c>
      <c r="F606" s="1"/>
      <c r="G606" s="2"/>
      <c r="H606" s="1" t="s">
        <v>172</v>
      </c>
      <c r="I606" s="2"/>
      <c r="J606" s="3" t="s">
        <v>280</v>
      </c>
      <c r="K606" s="1"/>
      <c r="L606" s="2"/>
      <c r="M606" s="3" t="s">
        <v>289</v>
      </c>
    </row>
    <row r="607" spans="1:13" ht="12">
      <c r="A607" s="73" t="s">
        <v>4</v>
      </c>
      <c r="C607" s="74" t="s">
        <v>20</v>
      </c>
      <c r="E607" s="73" t="s">
        <v>4</v>
      </c>
      <c r="F607" s="1"/>
      <c r="G607" s="2" t="s">
        <v>6</v>
      </c>
      <c r="H607" s="3" t="s">
        <v>7</v>
      </c>
      <c r="I607" s="2" t="s">
        <v>6</v>
      </c>
      <c r="J607" s="3" t="s">
        <v>7</v>
      </c>
      <c r="K607" s="1"/>
      <c r="L607" s="2" t="s">
        <v>6</v>
      </c>
      <c r="M607" s="3" t="s">
        <v>8</v>
      </c>
    </row>
    <row r="608" spans="1:13" ht="12">
      <c r="A608" s="15" t="s">
        <v>1</v>
      </c>
      <c r="B608" s="15" t="s">
        <v>1</v>
      </c>
      <c r="C608" s="15" t="s">
        <v>1</v>
      </c>
      <c r="D608" s="15" t="s">
        <v>1</v>
      </c>
      <c r="E608" s="15" t="s">
        <v>1</v>
      </c>
      <c r="F608" s="15" t="s">
        <v>1</v>
      </c>
      <c r="G608" s="15"/>
      <c r="H608" s="15"/>
      <c r="I608" s="16" t="s">
        <v>1</v>
      </c>
      <c r="J608" s="19" t="s">
        <v>1</v>
      </c>
      <c r="K608" s="15" t="s">
        <v>1</v>
      </c>
      <c r="L608" s="16" t="s">
        <v>1</v>
      </c>
      <c r="M608" s="19" t="s">
        <v>1</v>
      </c>
    </row>
    <row r="609" spans="1:13" ht="12">
      <c r="A609" s="41">
        <v>1</v>
      </c>
      <c r="C609" s="4" t="s">
        <v>36</v>
      </c>
      <c r="E609" s="41">
        <v>1</v>
      </c>
      <c r="F609" s="27"/>
      <c r="G609" s="161">
        <v>285</v>
      </c>
      <c r="H609" s="28">
        <v>17952704</v>
      </c>
      <c r="I609" s="57">
        <f>318.35</f>
        <v>318.35</v>
      </c>
      <c r="J609" s="28">
        <f>17382874.6+222385.79+975115.86</f>
        <v>18580376.25</v>
      </c>
      <c r="K609" s="28"/>
      <c r="L609" s="57">
        <f>I609+13</f>
        <v>331.35</v>
      </c>
      <c r="M609" s="28">
        <f>20260591+174971+950492</f>
        <v>21386054</v>
      </c>
    </row>
    <row r="610" spans="1:13" ht="12">
      <c r="A610" s="41">
        <v>2</v>
      </c>
      <c r="C610" s="4" t="s">
        <v>37</v>
      </c>
      <c r="E610" s="41">
        <v>2</v>
      </c>
      <c r="F610" s="27"/>
      <c r="G610" s="161"/>
      <c r="H610" s="28">
        <v>4113751</v>
      </c>
      <c r="I610" s="57"/>
      <c r="J610" s="28">
        <f>4246086.79+443.36+236563.93+164819.04</f>
        <v>4647913.12</v>
      </c>
      <c r="K610" s="28"/>
      <c r="L610" s="57"/>
      <c r="M610" s="28">
        <f>4749856+352414+6040</f>
        <v>5108310</v>
      </c>
    </row>
    <row r="611" spans="1:13" ht="12">
      <c r="A611" s="41">
        <v>3</v>
      </c>
      <c r="C611" s="4" t="s">
        <v>245</v>
      </c>
      <c r="E611" s="41">
        <v>3</v>
      </c>
      <c r="F611" s="27"/>
      <c r="G611" s="161">
        <v>93.2</v>
      </c>
      <c r="H611" s="28">
        <v>1707320</v>
      </c>
      <c r="I611" s="57">
        <v>71.81</v>
      </c>
      <c r="J611" s="28">
        <v>1944586.69</v>
      </c>
      <c r="K611" s="28"/>
      <c r="L611" s="57">
        <f>I611</f>
        <v>71.81</v>
      </c>
      <c r="M611" s="28">
        <f>1684456+128497+923</f>
        <v>1813876</v>
      </c>
    </row>
    <row r="612" spans="1:13" ht="12">
      <c r="A612" s="41">
        <v>4</v>
      </c>
      <c r="C612" s="4" t="s">
        <v>23</v>
      </c>
      <c r="E612" s="41">
        <v>4</v>
      </c>
      <c r="F612" s="27"/>
      <c r="G612" s="161">
        <f>SUM(G609:G611)</f>
        <v>378.2</v>
      </c>
      <c r="H612" s="155">
        <f aca="true" t="shared" si="16" ref="H612:M612">SUM(H609:H611)</f>
        <v>23773775</v>
      </c>
      <c r="I612" s="57">
        <f t="shared" si="16"/>
        <v>390.16</v>
      </c>
      <c r="J612" s="45">
        <f t="shared" si="16"/>
        <v>25172876.060000002</v>
      </c>
      <c r="K612" s="45"/>
      <c r="L612" s="57">
        <f t="shared" si="16"/>
        <v>403.16</v>
      </c>
      <c r="M612" s="45">
        <f t="shared" si="16"/>
        <v>28308240</v>
      </c>
    </row>
    <row r="613" spans="1:13" ht="12">
      <c r="A613" s="41">
        <v>5</v>
      </c>
      <c r="E613" s="41">
        <v>5</v>
      </c>
      <c r="F613" s="27"/>
      <c r="G613" s="161"/>
      <c r="H613" s="28"/>
      <c r="I613" s="57"/>
      <c r="J613" s="28"/>
      <c r="K613" s="44"/>
      <c r="L613" s="57"/>
      <c r="M613" s="28"/>
    </row>
    <row r="614" spans="1:13" ht="12">
      <c r="A614" s="41">
        <v>6</v>
      </c>
      <c r="C614" s="4" t="s">
        <v>24</v>
      </c>
      <c r="E614" s="41">
        <v>6</v>
      </c>
      <c r="F614" s="27"/>
      <c r="G614" s="161"/>
      <c r="H614" s="28"/>
      <c r="I614" s="57">
        <v>0</v>
      </c>
      <c r="J614" s="28"/>
      <c r="K614" s="28"/>
      <c r="L614" s="57">
        <v>0</v>
      </c>
      <c r="M614" s="28"/>
    </row>
    <row r="615" spans="1:13" ht="12">
      <c r="A615" s="41">
        <v>7</v>
      </c>
      <c r="C615" s="4" t="s">
        <v>25</v>
      </c>
      <c r="E615" s="41">
        <v>7</v>
      </c>
      <c r="F615" s="27"/>
      <c r="G615" s="161">
        <v>36.5</v>
      </c>
      <c r="H615" s="28">
        <v>1334342</v>
      </c>
      <c r="I615" s="57">
        <v>32.47</v>
      </c>
      <c r="J615" s="28">
        <v>1395203.89</v>
      </c>
      <c r="K615" s="28"/>
      <c r="L615" s="57">
        <f>I615+2</f>
        <v>34.47</v>
      </c>
      <c r="M615" s="28">
        <v>1693426</v>
      </c>
    </row>
    <row r="616" spans="1:13" ht="12">
      <c r="A616" s="41">
        <v>8</v>
      </c>
      <c r="C616" s="4" t="s">
        <v>26</v>
      </c>
      <c r="E616" s="41">
        <v>8</v>
      </c>
      <c r="F616" s="27"/>
      <c r="G616" s="161"/>
      <c r="H616" s="28">
        <v>245854</v>
      </c>
      <c r="I616" s="57"/>
      <c r="J616" s="28">
        <v>285862.02</v>
      </c>
      <c r="K616" s="28"/>
      <c r="L616" s="57"/>
      <c r="M616" s="28">
        <v>393307</v>
      </c>
    </row>
    <row r="617" spans="1:13" ht="12">
      <c r="A617" s="41">
        <v>9</v>
      </c>
      <c r="C617" s="4" t="s">
        <v>27</v>
      </c>
      <c r="E617" s="41">
        <v>9</v>
      </c>
      <c r="F617" s="27"/>
      <c r="G617" s="161">
        <f>SUM(G614:G616)</f>
        <v>36.5</v>
      </c>
      <c r="H617" s="28">
        <f>SUM(H614:H616)</f>
        <v>1580196</v>
      </c>
      <c r="I617" s="57">
        <f>SUM(I614:I616)</f>
        <v>32.47</v>
      </c>
      <c r="J617" s="28">
        <f>SUM(J614:J616)</f>
        <v>1681065.91</v>
      </c>
      <c r="K617" s="49"/>
      <c r="L617" s="57">
        <f>SUM(L614:L616)</f>
        <v>34.47</v>
      </c>
      <c r="M617" s="28">
        <f>SUM(M614:M616)</f>
        <v>2086733</v>
      </c>
    </row>
    <row r="618" spans="1:13" ht="12">
      <c r="A618" s="41">
        <v>10</v>
      </c>
      <c r="E618" s="41">
        <v>10</v>
      </c>
      <c r="F618" s="27"/>
      <c r="G618" s="161"/>
      <c r="H618" s="28"/>
      <c r="I618" s="111"/>
      <c r="J618" s="28"/>
      <c r="K618" s="44"/>
      <c r="L618" s="111"/>
      <c r="M618" s="28"/>
    </row>
    <row r="619" spans="1:13" ht="12">
      <c r="A619" s="41">
        <v>11</v>
      </c>
      <c r="C619" s="4" t="s">
        <v>28</v>
      </c>
      <c r="E619" s="41">
        <v>11</v>
      </c>
      <c r="G619" s="162">
        <f>SUM(G612+G617)</f>
        <v>414.7</v>
      </c>
      <c r="H619" s="44">
        <f>SUM(H612+H617)</f>
        <v>25353971</v>
      </c>
      <c r="I619" s="59">
        <f>SUM(I612+I617)</f>
        <v>422.63</v>
      </c>
      <c r="J619" s="44">
        <f>SUM(J612+J617)</f>
        <v>26853941.970000003</v>
      </c>
      <c r="K619" s="44"/>
      <c r="L619" s="59">
        <f>SUM(L612+L617)</f>
        <v>437.63</v>
      </c>
      <c r="M619" s="44">
        <f>SUM(M612+M617)</f>
        <v>30394973</v>
      </c>
    </row>
    <row r="620" spans="1:13" ht="12">
      <c r="A620" s="41">
        <v>12</v>
      </c>
      <c r="E620" s="41">
        <v>12</v>
      </c>
      <c r="G620" s="162"/>
      <c r="H620" s="44"/>
      <c r="I620" s="59"/>
      <c r="J620" s="44"/>
      <c r="K620" s="44"/>
      <c r="L620" s="59"/>
      <c r="M620" s="44"/>
    </row>
    <row r="621" spans="1:13" ht="12">
      <c r="A621" s="41">
        <v>13</v>
      </c>
      <c r="C621" s="4" t="s">
        <v>29</v>
      </c>
      <c r="E621" s="41">
        <v>13</v>
      </c>
      <c r="F621" s="27"/>
      <c r="G621" s="161"/>
      <c r="H621" s="28">
        <v>490917</v>
      </c>
      <c r="I621" s="57"/>
      <c r="J621" s="28">
        <f>543256.63+1577.18</f>
        <v>544833.81</v>
      </c>
      <c r="K621" s="28"/>
      <c r="L621" s="57"/>
      <c r="M621" s="28">
        <f>309565+4530</f>
        <v>314095</v>
      </c>
    </row>
    <row r="622" spans="1:13" ht="12">
      <c r="A622" s="41">
        <v>14</v>
      </c>
      <c r="E622" s="41">
        <v>14</v>
      </c>
      <c r="F622" s="27"/>
      <c r="G622" s="161"/>
      <c r="H622" s="28"/>
      <c r="I622" s="57"/>
      <c r="J622" s="28"/>
      <c r="K622" s="28"/>
      <c r="L622" s="57"/>
      <c r="M622" s="28"/>
    </row>
    <row r="623" spans="1:13" ht="12">
      <c r="A623" s="41">
        <v>15</v>
      </c>
      <c r="C623" s="4" t="s">
        <v>30</v>
      </c>
      <c r="E623" s="41">
        <v>15</v>
      </c>
      <c r="F623" s="27"/>
      <c r="G623" s="161"/>
      <c r="H623" s="28">
        <v>252698</v>
      </c>
      <c r="I623" s="57"/>
      <c r="J623" s="28">
        <v>381643.84</v>
      </c>
      <c r="K623" s="28"/>
      <c r="L623" s="57"/>
      <c r="M623" s="28">
        <v>178785</v>
      </c>
    </row>
    <row r="624" spans="1:13" ht="12">
      <c r="A624" s="41">
        <v>16</v>
      </c>
      <c r="C624" s="4" t="s">
        <v>243</v>
      </c>
      <c r="E624" s="41">
        <v>16</v>
      </c>
      <c r="F624" s="27"/>
      <c r="G624" s="161"/>
      <c r="H624" s="28"/>
      <c r="I624" s="57"/>
      <c r="J624" s="28"/>
      <c r="K624" s="28"/>
      <c r="L624" s="57"/>
      <c r="M624" s="28"/>
    </row>
    <row r="625" spans="1:13" ht="12">
      <c r="A625" s="41">
        <v>17</v>
      </c>
      <c r="C625" s="4" t="s">
        <v>246</v>
      </c>
      <c r="E625" s="41">
        <v>17</v>
      </c>
      <c r="F625" s="27"/>
      <c r="G625" s="161"/>
      <c r="H625" s="28">
        <v>1787389</v>
      </c>
      <c r="I625" s="57"/>
      <c r="J625" s="28">
        <f>2355437.36</f>
        <v>2355437.36</v>
      </c>
      <c r="K625" s="28"/>
      <c r="L625" s="57"/>
      <c r="M625" s="28">
        <f>2401912+58000</f>
        <v>2459912</v>
      </c>
    </row>
    <row r="626" spans="1:13" ht="12">
      <c r="A626" s="41">
        <v>18</v>
      </c>
      <c r="C626" s="4"/>
      <c r="E626" s="41">
        <v>18</v>
      </c>
      <c r="G626" s="161"/>
      <c r="H626" s="28"/>
      <c r="I626" s="57"/>
      <c r="J626" s="28"/>
      <c r="K626" s="28"/>
      <c r="L626" s="57"/>
      <c r="M626" s="28"/>
    </row>
    <row r="627" spans="1:13" ht="12">
      <c r="A627" s="41">
        <v>19</v>
      </c>
      <c r="C627" s="4" t="s">
        <v>32</v>
      </c>
      <c r="E627" s="41">
        <v>19</v>
      </c>
      <c r="G627" s="161"/>
      <c r="H627" s="28"/>
      <c r="I627" s="57"/>
      <c r="J627" s="28"/>
      <c r="K627" s="28"/>
      <c r="L627" s="57"/>
      <c r="M627" s="28">
        <v>60065</v>
      </c>
    </row>
    <row r="628" spans="1:13" ht="12">
      <c r="A628" s="41">
        <v>20</v>
      </c>
      <c r="C628" s="4"/>
      <c r="E628" s="41">
        <v>20</v>
      </c>
      <c r="G628" s="161"/>
      <c r="H628" s="28"/>
      <c r="I628" s="57"/>
      <c r="J628" s="28"/>
      <c r="K628" s="28"/>
      <c r="L628" s="57"/>
      <c r="M628" s="28"/>
    </row>
    <row r="629" spans="1:13" ht="12">
      <c r="A629" s="41">
        <v>21</v>
      </c>
      <c r="C629" s="4"/>
      <c r="E629" s="41">
        <v>21</v>
      </c>
      <c r="G629" s="161"/>
      <c r="H629" s="28"/>
      <c r="I629" s="57"/>
      <c r="J629" s="28"/>
      <c r="K629" s="28"/>
      <c r="L629" s="57"/>
      <c r="M629" s="28"/>
    </row>
    <row r="630" spans="1:13" ht="12">
      <c r="A630" s="41">
        <v>22</v>
      </c>
      <c r="C630" s="4"/>
      <c r="E630" s="41">
        <v>22</v>
      </c>
      <c r="G630" s="161"/>
      <c r="H630" s="28"/>
      <c r="I630" s="57"/>
      <c r="J630" s="28"/>
      <c r="K630" s="28"/>
      <c r="L630" s="57"/>
      <c r="M630" s="28"/>
    </row>
    <row r="631" spans="1:13" ht="12">
      <c r="A631" s="41">
        <v>23</v>
      </c>
      <c r="C631" s="4"/>
      <c r="E631" s="41">
        <v>23</v>
      </c>
      <c r="G631" s="161"/>
      <c r="H631" s="28"/>
      <c r="I631" s="57"/>
      <c r="J631" s="28"/>
      <c r="K631" s="28"/>
      <c r="L631" s="57"/>
      <c r="M631" s="28"/>
    </row>
    <row r="632" spans="1:13" ht="12">
      <c r="A632" s="41">
        <v>24</v>
      </c>
      <c r="C632" s="4"/>
      <c r="E632" s="41">
        <v>24</v>
      </c>
      <c r="G632" s="161"/>
      <c r="H632" s="28"/>
      <c r="I632" s="57"/>
      <c r="J632" s="28"/>
      <c r="K632" s="28"/>
      <c r="L632" s="57"/>
      <c r="M632" s="28"/>
    </row>
    <row r="633" spans="1:13" ht="9.75" customHeight="1">
      <c r="A633" s="41"/>
      <c r="C633" s="4"/>
      <c r="E633" s="41"/>
      <c r="G633" s="161"/>
      <c r="H633" s="28"/>
      <c r="I633" s="57"/>
      <c r="J633" s="28"/>
      <c r="K633" s="28"/>
      <c r="L633" s="57"/>
      <c r="M633" s="28"/>
    </row>
    <row r="634" spans="1:13" ht="12">
      <c r="A634" s="41"/>
      <c r="E634" s="41"/>
      <c r="G634" s="161"/>
      <c r="H634" s="28"/>
      <c r="I634" s="57"/>
      <c r="J634" s="28"/>
      <c r="K634" s="28"/>
      <c r="L634" s="57"/>
      <c r="M634" s="28"/>
    </row>
    <row r="635" spans="1:13" ht="12">
      <c r="A635" s="41"/>
      <c r="E635" s="41"/>
      <c r="F635" s="24" t="s">
        <v>1</v>
      </c>
      <c r="G635" s="24"/>
      <c r="H635" s="24"/>
      <c r="I635" s="104"/>
      <c r="J635" s="19"/>
      <c r="K635" s="24"/>
      <c r="L635" s="104"/>
      <c r="M635" s="19"/>
    </row>
    <row r="636" spans="1:13" ht="18" customHeight="1">
      <c r="A636" s="41">
        <v>25</v>
      </c>
      <c r="C636" s="4" t="s">
        <v>267</v>
      </c>
      <c r="E636" s="41">
        <v>25</v>
      </c>
      <c r="G636" s="162">
        <f>SUM(G619:G629)</f>
        <v>414.7</v>
      </c>
      <c r="H636" s="44">
        <f>SUM(H619:H629)</f>
        <v>27884975</v>
      </c>
      <c r="I636" s="59">
        <f>SUM(I619:I629)</f>
        <v>422.63</v>
      </c>
      <c r="J636" s="44">
        <f>SUM(J619:J629)</f>
        <v>30135856.98</v>
      </c>
      <c r="K636" s="112"/>
      <c r="L636" s="59">
        <f>SUM(L619:L629)</f>
        <v>437.63</v>
      </c>
      <c r="M636" s="44">
        <f>SUM(M619:M629)</f>
        <v>33407830</v>
      </c>
    </row>
    <row r="637" spans="6:13" ht="12">
      <c r="F637" s="24" t="s">
        <v>1</v>
      </c>
      <c r="G637" s="24"/>
      <c r="H637" s="24"/>
      <c r="I637" s="16"/>
      <c r="J637" s="19"/>
      <c r="K637" s="24"/>
      <c r="L637" s="16"/>
      <c r="M637" s="19"/>
    </row>
    <row r="638" ht="12">
      <c r="A638" s="4"/>
    </row>
    <row r="640" spans="1:13" s="21" customFormat="1" ht="12">
      <c r="A640" s="70" t="str">
        <f>$A$82</f>
        <v>Institution No.:  GFC</v>
      </c>
      <c r="E640" s="20"/>
      <c r="I640" s="22"/>
      <c r="J640" s="23"/>
      <c r="L640" s="22"/>
      <c r="M640" s="69" t="s">
        <v>33</v>
      </c>
    </row>
    <row r="641" spans="1:13" s="21" customFormat="1" ht="12">
      <c r="A641" s="434" t="s">
        <v>160</v>
      </c>
      <c r="B641" s="434"/>
      <c r="C641" s="434"/>
      <c r="D641" s="434"/>
      <c r="E641" s="434"/>
      <c r="F641" s="434"/>
      <c r="G641" s="434"/>
      <c r="H641" s="434"/>
      <c r="I641" s="434"/>
      <c r="J641" s="434"/>
      <c r="K641" s="434"/>
      <c r="L641" s="434"/>
      <c r="M641" s="434"/>
    </row>
    <row r="642" spans="1:13" ht="12">
      <c r="A642" s="70" t="str">
        <f>$A$42</f>
        <v>NAME: UNIVERSITY OF COLORADO AT COLORADO SPRINGS</v>
      </c>
      <c r="F642" s="106"/>
      <c r="G642" s="106"/>
      <c r="H642" s="106"/>
      <c r="I642" s="102"/>
      <c r="J642" s="103"/>
      <c r="L642" s="6"/>
      <c r="M642" s="72" t="str">
        <f>$M$3</f>
        <v>Date: 10/1/2007</v>
      </c>
    </row>
    <row r="643" spans="1:13" ht="12">
      <c r="A643" s="15" t="s">
        <v>1</v>
      </c>
      <c r="B643" s="15" t="s">
        <v>1</v>
      </c>
      <c r="C643" s="15" t="s">
        <v>1</v>
      </c>
      <c r="D643" s="15" t="s">
        <v>1</v>
      </c>
      <c r="E643" s="15" t="s">
        <v>1</v>
      </c>
      <c r="F643" s="15" t="s">
        <v>1</v>
      </c>
      <c r="G643" s="15"/>
      <c r="H643" s="15"/>
      <c r="I643" s="16" t="s">
        <v>1</v>
      </c>
      <c r="J643" s="19" t="s">
        <v>1</v>
      </c>
      <c r="K643" s="15" t="s">
        <v>1</v>
      </c>
      <c r="L643" s="16" t="s">
        <v>1</v>
      </c>
      <c r="M643" s="19" t="s">
        <v>1</v>
      </c>
    </row>
    <row r="644" spans="1:13" ht="12">
      <c r="A644" s="73" t="s">
        <v>2</v>
      </c>
      <c r="E644" s="73" t="s">
        <v>2</v>
      </c>
      <c r="F644" s="1"/>
      <c r="G644" s="2"/>
      <c r="H644" s="1" t="s">
        <v>172</v>
      </c>
      <c r="I644" s="2"/>
      <c r="J644" s="3" t="s">
        <v>280</v>
      </c>
      <c r="K644" s="1"/>
      <c r="L644" s="2"/>
      <c r="M644" s="3" t="s">
        <v>289</v>
      </c>
    </row>
    <row r="645" spans="1:13" ht="12">
      <c r="A645" s="73" t="s">
        <v>4</v>
      </c>
      <c r="C645" s="74" t="s">
        <v>20</v>
      </c>
      <c r="E645" s="73" t="s">
        <v>4</v>
      </c>
      <c r="F645" s="1"/>
      <c r="G645" s="2" t="s">
        <v>6</v>
      </c>
      <c r="H645" s="3" t="s">
        <v>7</v>
      </c>
      <c r="I645" s="2" t="s">
        <v>6</v>
      </c>
      <c r="J645" s="3" t="s">
        <v>7</v>
      </c>
      <c r="K645" s="1"/>
      <c r="L645" s="2" t="s">
        <v>6</v>
      </c>
      <c r="M645" s="3" t="s">
        <v>8</v>
      </c>
    </row>
    <row r="646" spans="1:13" ht="12">
      <c r="A646" s="15" t="s">
        <v>1</v>
      </c>
      <c r="B646" s="15" t="s">
        <v>1</v>
      </c>
      <c r="C646" s="15" t="s">
        <v>1</v>
      </c>
      <c r="D646" s="15" t="s">
        <v>1</v>
      </c>
      <c r="E646" s="15" t="s">
        <v>1</v>
      </c>
      <c r="F646" s="15" t="s">
        <v>1</v>
      </c>
      <c r="G646" s="15"/>
      <c r="H646" s="15"/>
      <c r="I646" s="150" t="s">
        <v>1</v>
      </c>
      <c r="J646" s="19" t="s">
        <v>1</v>
      </c>
      <c r="K646" s="15" t="s">
        <v>1</v>
      </c>
      <c r="L646" s="16" t="s">
        <v>1</v>
      </c>
      <c r="M646" s="19" t="s">
        <v>1</v>
      </c>
    </row>
    <row r="647" spans="1:13" ht="12">
      <c r="A647" s="41">
        <v>1</v>
      </c>
      <c r="C647" s="4" t="s">
        <v>36</v>
      </c>
      <c r="E647" s="41">
        <v>1</v>
      </c>
      <c r="F647" s="27"/>
      <c r="G647" s="163"/>
      <c r="H647" s="32">
        <v>157930</v>
      </c>
      <c r="I647" s="163">
        <v>1.1</v>
      </c>
      <c r="J647" s="28">
        <f>64736.22+960+52253.28</f>
        <v>117949.5</v>
      </c>
      <c r="K647" s="42"/>
      <c r="L647" s="163">
        <f>I647</f>
        <v>1.1</v>
      </c>
      <c r="M647" s="28">
        <f>7949+40754+41462+15085</f>
        <v>105250</v>
      </c>
    </row>
    <row r="648" spans="1:13" ht="12">
      <c r="A648" s="41">
        <v>2</v>
      </c>
      <c r="C648" s="4" t="s">
        <v>37</v>
      </c>
      <c r="E648" s="41">
        <v>2</v>
      </c>
      <c r="F648" s="27"/>
      <c r="G648" s="163"/>
      <c r="H648" s="32">
        <v>72603</v>
      </c>
      <c r="I648" s="163"/>
      <c r="J648" s="28">
        <f>-14624.81+15627.43</f>
        <v>1002.6200000000008</v>
      </c>
      <c r="K648" s="42"/>
      <c r="L648" s="163"/>
      <c r="M648" s="28"/>
    </row>
    <row r="649" spans="1:13" ht="12">
      <c r="A649" s="41">
        <v>3</v>
      </c>
      <c r="C649" s="4" t="s">
        <v>34</v>
      </c>
      <c r="E649" s="41">
        <v>3</v>
      </c>
      <c r="F649" s="27"/>
      <c r="G649" s="163"/>
      <c r="H649" s="32"/>
      <c r="I649" s="163">
        <v>0</v>
      </c>
      <c r="J649" s="28"/>
      <c r="K649" s="42"/>
      <c r="L649" s="163">
        <v>0</v>
      </c>
      <c r="M649" s="28">
        <f>6306+664</f>
        <v>6970</v>
      </c>
    </row>
    <row r="650" spans="1:13" ht="12">
      <c r="A650" s="41">
        <v>4</v>
      </c>
      <c r="C650" s="4" t="s">
        <v>23</v>
      </c>
      <c r="E650" s="41">
        <v>4</v>
      </c>
      <c r="F650" s="27"/>
      <c r="G650" s="163">
        <f>SUM(G647:G649)</f>
        <v>0</v>
      </c>
      <c r="H650" s="32">
        <f>SUM(H647:H649)</f>
        <v>230533</v>
      </c>
      <c r="I650" s="163">
        <f>SUM(I647:I649)</f>
        <v>1.1</v>
      </c>
      <c r="J650" s="28">
        <f>SUM(J647:J649)</f>
        <v>118952.12</v>
      </c>
      <c r="K650" s="43"/>
      <c r="L650" s="163">
        <f>SUM(L647:L649)</f>
        <v>1.1</v>
      </c>
      <c r="M650" s="28">
        <f>SUM(M647:M649)</f>
        <v>112220</v>
      </c>
    </row>
    <row r="651" spans="1:13" ht="12">
      <c r="A651" s="41">
        <v>5</v>
      </c>
      <c r="E651" s="41">
        <v>5</v>
      </c>
      <c r="F651" s="27"/>
      <c r="G651" s="163"/>
      <c r="H651" s="32"/>
      <c r="I651" s="163"/>
      <c r="J651" s="28"/>
      <c r="K651" s="43"/>
      <c r="L651" s="163"/>
      <c r="M651" s="28"/>
    </row>
    <row r="652" spans="1:13" ht="12">
      <c r="A652" s="41">
        <v>6</v>
      </c>
      <c r="C652" s="4" t="s">
        <v>24</v>
      </c>
      <c r="E652" s="41">
        <v>6</v>
      </c>
      <c r="F652" s="27"/>
      <c r="G652" s="163"/>
      <c r="H652" s="32"/>
      <c r="I652" s="163"/>
      <c r="J652" s="28"/>
      <c r="K652" s="42"/>
      <c r="L652" s="163"/>
      <c r="M652" s="28"/>
    </row>
    <row r="653" spans="1:13" ht="12">
      <c r="A653" s="41">
        <v>7</v>
      </c>
      <c r="C653" s="4" t="s">
        <v>25</v>
      </c>
      <c r="E653" s="41">
        <v>7</v>
      </c>
      <c r="F653" s="27"/>
      <c r="G653" s="163"/>
      <c r="H653" s="32">
        <v>126</v>
      </c>
      <c r="I653" s="163">
        <v>0.31</v>
      </c>
      <c r="J653" s="28">
        <v>6750.91</v>
      </c>
      <c r="K653" s="42"/>
      <c r="L653" s="163">
        <f>I653</f>
        <v>0.31</v>
      </c>
      <c r="M653" s="28">
        <v>10346</v>
      </c>
    </row>
    <row r="654" spans="1:13" ht="12">
      <c r="A654" s="41">
        <v>8</v>
      </c>
      <c r="C654" s="4" t="s">
        <v>26</v>
      </c>
      <c r="E654" s="41">
        <v>8</v>
      </c>
      <c r="F654" s="27"/>
      <c r="G654" s="163"/>
      <c r="H654" s="32">
        <v>2266</v>
      </c>
      <c r="I654" s="163"/>
      <c r="J654" s="28">
        <v>870.74</v>
      </c>
      <c r="K654" s="42"/>
      <c r="L654" s="163"/>
      <c r="M654" s="28">
        <v>2662</v>
      </c>
    </row>
    <row r="655" spans="1:13" ht="12">
      <c r="A655" s="41">
        <v>9</v>
      </c>
      <c r="C655" s="4" t="s">
        <v>27</v>
      </c>
      <c r="E655" s="41">
        <v>9</v>
      </c>
      <c r="F655" s="27"/>
      <c r="G655" s="163">
        <f>SUM(G652:G654)</f>
        <v>0</v>
      </c>
      <c r="H655" s="32">
        <f>SUM(H652:H654)</f>
        <v>2392</v>
      </c>
      <c r="I655" s="163">
        <f>SUM(I652:I654)</f>
        <v>0.31</v>
      </c>
      <c r="J655" s="28">
        <f>SUM(J652:J654)</f>
        <v>7621.65</v>
      </c>
      <c r="K655" s="63"/>
      <c r="L655" s="163">
        <f>SUM(L652:L654)</f>
        <v>0.31</v>
      </c>
      <c r="M655" s="28">
        <f>SUM(M652:M654)</f>
        <v>13008</v>
      </c>
    </row>
    <row r="656" spans="1:13" ht="12">
      <c r="A656" s="41">
        <v>10</v>
      </c>
      <c r="E656" s="41">
        <v>10</v>
      </c>
      <c r="F656" s="27"/>
      <c r="G656" s="163"/>
      <c r="H656" s="32"/>
      <c r="I656" s="166"/>
      <c r="J656" s="28"/>
      <c r="K656" s="43"/>
      <c r="L656" s="166"/>
      <c r="M656" s="28"/>
    </row>
    <row r="657" spans="1:13" ht="12">
      <c r="A657" s="41">
        <v>11</v>
      </c>
      <c r="C657" s="4" t="s">
        <v>28</v>
      </c>
      <c r="E657" s="41">
        <v>11</v>
      </c>
      <c r="G657" s="164">
        <f>SUM(G650+G655)</f>
        <v>0</v>
      </c>
      <c r="H657" s="33">
        <f>SUM(H650+H655)</f>
        <v>232925</v>
      </c>
      <c r="I657" s="164">
        <f>SUM(I650+I655)</f>
        <v>1.4100000000000001</v>
      </c>
      <c r="J657" s="44">
        <f>SUM(J650+J655)</f>
        <v>126573.76999999999</v>
      </c>
      <c r="K657" s="43"/>
      <c r="L657" s="164">
        <f>SUM(L650+L655)</f>
        <v>1.4100000000000001</v>
      </c>
      <c r="M657" s="44">
        <f>SUM(M650+M655)</f>
        <v>125228</v>
      </c>
    </row>
    <row r="658" spans="1:13" ht="12">
      <c r="A658" s="41">
        <v>12</v>
      </c>
      <c r="E658" s="41">
        <v>12</v>
      </c>
      <c r="G658" s="164"/>
      <c r="H658" s="33"/>
      <c r="I658" s="164"/>
      <c r="J658" s="44"/>
      <c r="K658" s="43"/>
      <c r="L658" s="164"/>
      <c r="M658" s="44"/>
    </row>
    <row r="659" spans="1:13" ht="12">
      <c r="A659" s="41">
        <v>13</v>
      </c>
      <c r="C659" s="4" t="s">
        <v>29</v>
      </c>
      <c r="E659" s="41">
        <v>13</v>
      </c>
      <c r="F659" s="27"/>
      <c r="G659" s="163"/>
      <c r="H659" s="32">
        <v>9982</v>
      </c>
      <c r="I659" s="163"/>
      <c r="J659" s="28">
        <f>5385.28+22.82</f>
        <v>5408.099999999999</v>
      </c>
      <c r="K659" s="42"/>
      <c r="L659" s="163"/>
      <c r="M659" s="28">
        <v>225</v>
      </c>
    </row>
    <row r="660" spans="1:13" ht="12">
      <c r="A660" s="41">
        <v>14</v>
      </c>
      <c r="E660" s="41">
        <v>14</v>
      </c>
      <c r="F660" s="27"/>
      <c r="G660" s="163"/>
      <c r="H660" s="32"/>
      <c r="I660" s="163"/>
      <c r="J660" s="28"/>
      <c r="K660" s="42"/>
      <c r="L660" s="163"/>
      <c r="M660" s="28"/>
    </row>
    <row r="661" spans="1:13" ht="12">
      <c r="A661" s="41">
        <v>15</v>
      </c>
      <c r="C661" s="4" t="s">
        <v>30</v>
      </c>
      <c r="E661" s="41">
        <v>15</v>
      </c>
      <c r="F661" s="27"/>
      <c r="G661" s="163"/>
      <c r="H661" s="32">
        <v>30386</v>
      </c>
      <c r="I661" s="163"/>
      <c r="J661" s="28">
        <v>24199.4</v>
      </c>
      <c r="K661" s="42"/>
      <c r="L661" s="163"/>
      <c r="M661" s="155">
        <v>0</v>
      </c>
    </row>
    <row r="662" spans="1:13" ht="12">
      <c r="A662" s="41">
        <v>16</v>
      </c>
      <c r="C662" s="4" t="s">
        <v>31</v>
      </c>
      <c r="E662" s="41">
        <v>16</v>
      </c>
      <c r="F662" s="27"/>
      <c r="G662" s="163"/>
      <c r="H662" s="32">
        <v>36887</v>
      </c>
      <c r="I662" s="163"/>
      <c r="J662" s="28">
        <f>90541.91</f>
        <v>90541.91</v>
      </c>
      <c r="K662" s="42"/>
      <c r="L662" s="163"/>
      <c r="M662" s="28">
        <v>-16906</v>
      </c>
    </row>
    <row r="663" spans="1:13" ht="12">
      <c r="A663" s="41"/>
      <c r="C663" s="4"/>
      <c r="E663" s="41"/>
      <c r="G663" s="163"/>
      <c r="H663" s="32"/>
      <c r="I663" s="163"/>
      <c r="J663" s="28"/>
      <c r="K663" s="42"/>
      <c r="L663" s="163"/>
      <c r="M663" s="28"/>
    </row>
    <row r="664" spans="1:13" ht="12">
      <c r="A664" s="41">
        <v>17</v>
      </c>
      <c r="C664" s="4" t="s">
        <v>32</v>
      </c>
      <c r="E664" s="41">
        <v>17</v>
      </c>
      <c r="G664" s="163"/>
      <c r="H664" s="32">
        <v>0</v>
      </c>
      <c r="I664" s="163"/>
      <c r="J664" s="28"/>
      <c r="K664" s="42"/>
      <c r="L664" s="163"/>
      <c r="M664" s="28">
        <v>0</v>
      </c>
    </row>
    <row r="665" spans="1:13" ht="12">
      <c r="A665" s="41">
        <v>18</v>
      </c>
      <c r="C665" s="4"/>
      <c r="E665" s="41">
        <v>18</v>
      </c>
      <c r="G665" s="163"/>
      <c r="H665" s="32"/>
      <c r="I665" s="163"/>
      <c r="J665" s="29"/>
      <c r="K665" s="27"/>
      <c r="L665" s="163"/>
      <c r="M665" s="29"/>
    </row>
    <row r="666" spans="1:13" ht="12">
      <c r="A666" s="41">
        <v>19</v>
      </c>
      <c r="C666" s="4"/>
      <c r="E666" s="41">
        <v>19</v>
      </c>
      <c r="G666" s="163"/>
      <c r="H666" s="32"/>
      <c r="I666" s="163"/>
      <c r="J666" s="29"/>
      <c r="K666" s="27"/>
      <c r="L666" s="163"/>
      <c r="M666" s="29"/>
    </row>
    <row r="667" spans="1:13" ht="12">
      <c r="A667" s="41">
        <v>20</v>
      </c>
      <c r="C667" s="4"/>
      <c r="E667" s="41">
        <v>20</v>
      </c>
      <c r="G667" s="163"/>
      <c r="H667" s="32"/>
      <c r="I667" s="163"/>
      <c r="J667" s="29"/>
      <c r="K667" s="27"/>
      <c r="L667" s="163"/>
      <c r="M667" s="29"/>
    </row>
    <row r="668" spans="1:13" ht="12">
      <c r="A668" s="41">
        <v>21</v>
      </c>
      <c r="C668" s="4"/>
      <c r="E668" s="41">
        <v>21</v>
      </c>
      <c r="G668" s="163"/>
      <c r="H668" s="32"/>
      <c r="I668" s="163"/>
      <c r="J668" s="29"/>
      <c r="K668" s="27"/>
      <c r="L668" s="163"/>
      <c r="M668" s="29"/>
    </row>
    <row r="669" spans="1:13" ht="12">
      <c r="A669" s="41">
        <v>22</v>
      </c>
      <c r="C669" s="4"/>
      <c r="E669" s="41">
        <v>22</v>
      </c>
      <c r="G669" s="163"/>
      <c r="H669" s="32"/>
      <c r="I669" s="163"/>
      <c r="J669" s="29"/>
      <c r="K669" s="27"/>
      <c r="L669" s="163"/>
      <c r="M669" s="29"/>
    </row>
    <row r="670" spans="1:13" ht="9.75" customHeight="1">
      <c r="A670" s="41">
        <v>23</v>
      </c>
      <c r="C670" s="4"/>
      <c r="E670" s="41">
        <v>23</v>
      </c>
      <c r="G670" s="163"/>
      <c r="H670" s="32"/>
      <c r="I670" s="163"/>
      <c r="J670" s="29"/>
      <c r="K670" s="27"/>
      <c r="L670" s="163"/>
      <c r="M670" s="29"/>
    </row>
    <row r="671" spans="1:13" ht="12">
      <c r="A671" s="41">
        <v>24</v>
      </c>
      <c r="C671" s="4"/>
      <c r="E671" s="41">
        <v>24</v>
      </c>
      <c r="G671" s="163"/>
      <c r="H671" s="32"/>
      <c r="I671" s="163"/>
      <c r="J671" s="29"/>
      <c r="K671" s="27"/>
      <c r="L671" s="163"/>
      <c r="M671" s="29"/>
    </row>
    <row r="672" spans="1:13" ht="12">
      <c r="A672" s="41"/>
      <c r="E672" s="41"/>
      <c r="F672" s="113" t="s">
        <v>224</v>
      </c>
      <c r="G672" s="165"/>
      <c r="H672" s="27"/>
      <c r="I672" s="165"/>
      <c r="J672" s="40"/>
      <c r="K672" s="27"/>
      <c r="L672" s="165"/>
      <c r="M672" s="19" t="s">
        <v>1</v>
      </c>
    </row>
    <row r="673" spans="1:13" ht="14.25" customHeight="1">
      <c r="A673" s="41">
        <v>25</v>
      </c>
      <c r="C673" s="4" t="s">
        <v>268</v>
      </c>
      <c r="E673" s="41">
        <v>25</v>
      </c>
      <c r="G673" s="164">
        <f>SUM(G657:G666)</f>
        <v>0</v>
      </c>
      <c r="H673" s="44">
        <f>SUM(H657:H666)</f>
        <v>310180</v>
      </c>
      <c r="I673" s="164">
        <f>SUM(I657:I666)</f>
        <v>1.4100000000000001</v>
      </c>
      <c r="J673" s="44">
        <f>SUM(J657:J666)</f>
        <v>246723.18</v>
      </c>
      <c r="K673" s="43"/>
      <c r="L673" s="164">
        <f>SUM(L657:L666)</f>
        <v>1.4100000000000001</v>
      </c>
      <c r="M673" s="44">
        <f>SUM(M657:M666)</f>
        <v>108547</v>
      </c>
    </row>
    <row r="674" spans="5:13" ht="12">
      <c r="E674" s="38"/>
      <c r="F674" s="24" t="s">
        <v>1</v>
      </c>
      <c r="G674" s="24"/>
      <c r="H674" s="24"/>
      <c r="I674" s="16" t="s">
        <v>1</v>
      </c>
      <c r="J674" s="19" t="s">
        <v>1</v>
      </c>
      <c r="K674" s="24" t="s">
        <v>1</v>
      </c>
      <c r="L674" s="16" t="s">
        <v>1</v>
      </c>
      <c r="M674" s="19" t="s">
        <v>1</v>
      </c>
    </row>
    <row r="675" spans="1:13" ht="12">
      <c r="A675" s="4"/>
      <c r="J675" s="25"/>
      <c r="M675" s="25"/>
    </row>
    <row r="676" spans="10:13" ht="12">
      <c r="J676" s="25"/>
      <c r="M676" s="25"/>
    </row>
    <row r="677" spans="1:13" s="21" customFormat="1" ht="12">
      <c r="A677" s="70" t="str">
        <f>$A$82</f>
        <v>Institution No.:  GFC</v>
      </c>
      <c r="E677" s="20"/>
      <c r="I677" s="22"/>
      <c r="J677" s="23"/>
      <c r="L677" s="22"/>
      <c r="M677" s="69" t="s">
        <v>35</v>
      </c>
    </row>
    <row r="678" spans="1:13" s="21" customFormat="1" ht="12">
      <c r="A678" s="434" t="s">
        <v>161</v>
      </c>
      <c r="B678" s="434"/>
      <c r="C678" s="434"/>
      <c r="D678" s="434"/>
      <c r="E678" s="434"/>
      <c r="F678" s="434"/>
      <c r="G678" s="434"/>
      <c r="H678" s="434"/>
      <c r="I678" s="434"/>
      <c r="J678" s="434"/>
      <c r="K678" s="434"/>
      <c r="L678" s="434"/>
      <c r="M678" s="434"/>
    </row>
    <row r="679" spans="1:13" ht="12">
      <c r="A679" s="70" t="str">
        <f>$A$42</f>
        <v>NAME: UNIVERSITY OF COLORADO AT COLORADO SPRINGS</v>
      </c>
      <c r="I679" s="110"/>
      <c r="J679" s="103"/>
      <c r="L679" s="6"/>
      <c r="M679" s="72" t="str">
        <f>$M$3</f>
        <v>Date: 10/1/2007</v>
      </c>
    </row>
    <row r="680" spans="1:13" ht="12">
      <c r="A680" s="15" t="s">
        <v>1</v>
      </c>
      <c r="B680" s="15" t="s">
        <v>1</v>
      </c>
      <c r="C680" s="15" t="s">
        <v>1</v>
      </c>
      <c r="D680" s="15" t="s">
        <v>1</v>
      </c>
      <c r="E680" s="15" t="s">
        <v>1</v>
      </c>
      <c r="F680" s="15" t="s">
        <v>1</v>
      </c>
      <c r="G680" s="15"/>
      <c r="H680" s="15"/>
      <c r="I680" s="16" t="s">
        <v>1</v>
      </c>
      <c r="J680" s="19" t="s">
        <v>1</v>
      </c>
      <c r="K680" s="15" t="s">
        <v>1</v>
      </c>
      <c r="L680" s="16" t="s">
        <v>1</v>
      </c>
      <c r="M680" s="19" t="s">
        <v>1</v>
      </c>
    </row>
    <row r="681" spans="1:13" ht="12">
      <c r="A681" s="73" t="s">
        <v>2</v>
      </c>
      <c r="E681" s="73" t="s">
        <v>2</v>
      </c>
      <c r="F681" s="1"/>
      <c r="G681" s="2"/>
      <c r="H681" s="1" t="s">
        <v>172</v>
      </c>
      <c r="I681" s="2"/>
      <c r="J681" s="3" t="s">
        <v>280</v>
      </c>
      <c r="K681" s="1"/>
      <c r="L681" s="2"/>
      <c r="M681" s="3" t="s">
        <v>289</v>
      </c>
    </row>
    <row r="682" spans="1:13" ht="12">
      <c r="A682" s="73" t="s">
        <v>4</v>
      </c>
      <c r="C682" s="74" t="s">
        <v>20</v>
      </c>
      <c r="E682" s="73" t="s">
        <v>4</v>
      </c>
      <c r="F682" s="1"/>
      <c r="G682" s="2" t="s">
        <v>6</v>
      </c>
      <c r="H682" s="3" t="s">
        <v>7</v>
      </c>
      <c r="I682" s="2" t="s">
        <v>6</v>
      </c>
      <c r="J682" s="3" t="s">
        <v>7</v>
      </c>
      <c r="K682" s="1"/>
      <c r="L682" s="2" t="s">
        <v>6</v>
      </c>
      <c r="M682" s="3" t="s">
        <v>8</v>
      </c>
    </row>
    <row r="683" spans="1:13" ht="12">
      <c r="A683" s="15" t="s">
        <v>1</v>
      </c>
      <c r="B683" s="15" t="s">
        <v>1</v>
      </c>
      <c r="C683" s="15" t="s">
        <v>1</v>
      </c>
      <c r="D683" s="15" t="s">
        <v>1</v>
      </c>
      <c r="E683" s="15" t="s">
        <v>1</v>
      </c>
      <c r="F683" s="15" t="s">
        <v>1</v>
      </c>
      <c r="G683" s="15"/>
      <c r="H683" s="15"/>
      <c r="I683" s="16" t="s">
        <v>1</v>
      </c>
      <c r="J683" s="19" t="s">
        <v>1</v>
      </c>
      <c r="K683" s="15" t="s">
        <v>1</v>
      </c>
      <c r="L683" s="16" t="s">
        <v>1</v>
      </c>
      <c r="M683" s="19" t="s">
        <v>1</v>
      </c>
    </row>
    <row r="684" spans="1:13" ht="12">
      <c r="A684" s="41">
        <v>1</v>
      </c>
      <c r="C684" s="4" t="s">
        <v>36</v>
      </c>
      <c r="E684" s="41">
        <v>1</v>
      </c>
      <c r="F684" s="27"/>
      <c r="G684" s="52"/>
      <c r="H684" s="32">
        <v>91</v>
      </c>
      <c r="I684" s="114">
        <v>0</v>
      </c>
      <c r="J684" s="32">
        <f>10333.33</f>
        <v>10333.33</v>
      </c>
      <c r="K684" s="42"/>
      <c r="L684" s="52">
        <v>0</v>
      </c>
      <c r="M684" s="28"/>
    </row>
    <row r="685" spans="1:13" ht="12">
      <c r="A685" s="41">
        <v>2</v>
      </c>
      <c r="C685" s="4" t="s">
        <v>37</v>
      </c>
      <c r="E685" s="41">
        <v>2</v>
      </c>
      <c r="F685" s="27"/>
      <c r="G685" s="52"/>
      <c r="H685" s="32">
        <v>55555</v>
      </c>
      <c r="I685" s="114"/>
      <c r="J685" s="32">
        <v>35299</v>
      </c>
      <c r="K685" s="42"/>
      <c r="L685" s="52"/>
      <c r="M685" s="32"/>
    </row>
    <row r="686" spans="1:13" ht="12">
      <c r="A686" s="41">
        <v>3</v>
      </c>
      <c r="E686" s="41">
        <v>3</v>
      </c>
      <c r="F686" s="27"/>
      <c r="G686" s="52"/>
      <c r="H686" s="32"/>
      <c r="I686" s="114"/>
      <c r="J686" s="32"/>
      <c r="K686" s="42"/>
      <c r="L686" s="52"/>
      <c r="M686" s="155"/>
    </row>
    <row r="687" spans="1:13" ht="12">
      <c r="A687" s="41">
        <v>4</v>
      </c>
      <c r="C687" s="4" t="s">
        <v>23</v>
      </c>
      <c r="E687" s="41">
        <v>4</v>
      </c>
      <c r="F687" s="27"/>
      <c r="G687" s="52">
        <f>SUM(G684:G686)</f>
        <v>0</v>
      </c>
      <c r="H687" s="32">
        <f>SUM(H684:H686)</f>
        <v>55646</v>
      </c>
      <c r="I687" s="114">
        <f>SUM(I684:I686)</f>
        <v>0</v>
      </c>
      <c r="J687" s="32">
        <f>SUM(J684:J686)</f>
        <v>45632.33</v>
      </c>
      <c r="K687" s="43"/>
      <c r="L687" s="52">
        <f>SUM(L684:L686)</f>
        <v>0</v>
      </c>
      <c r="M687" s="155">
        <f>SUM(M684:M686)</f>
        <v>0</v>
      </c>
    </row>
    <row r="688" spans="1:13" ht="12">
      <c r="A688" s="41">
        <v>5</v>
      </c>
      <c r="E688" s="41">
        <v>5</v>
      </c>
      <c r="F688" s="27"/>
      <c r="G688" s="52"/>
      <c r="H688" s="32"/>
      <c r="I688" s="114"/>
      <c r="J688" s="32"/>
      <c r="K688" s="43"/>
      <c r="L688" s="52"/>
      <c r="M688" s="155"/>
    </row>
    <row r="689" spans="1:13" ht="12">
      <c r="A689" s="41">
        <v>6</v>
      </c>
      <c r="E689" s="41">
        <v>6</v>
      </c>
      <c r="F689" s="27"/>
      <c r="G689" s="52"/>
      <c r="H689" s="32"/>
      <c r="I689" s="114"/>
      <c r="J689" s="32"/>
      <c r="K689" s="43"/>
      <c r="L689" s="52"/>
      <c r="M689" s="155"/>
    </row>
    <row r="690" spans="1:13" ht="12">
      <c r="A690" s="41">
        <v>7</v>
      </c>
      <c r="C690" s="4" t="s">
        <v>25</v>
      </c>
      <c r="E690" s="41">
        <v>7</v>
      </c>
      <c r="F690" s="27"/>
      <c r="G690" s="52">
        <v>0</v>
      </c>
      <c r="H690" s="32">
        <v>0</v>
      </c>
      <c r="I690" s="114">
        <v>0</v>
      </c>
      <c r="J690" s="32"/>
      <c r="K690" s="42"/>
      <c r="L690" s="52">
        <v>0</v>
      </c>
      <c r="M690" s="155">
        <v>0</v>
      </c>
    </row>
    <row r="691" spans="1:13" ht="12">
      <c r="A691" s="41">
        <v>8</v>
      </c>
      <c r="C691" s="4" t="s">
        <v>26</v>
      </c>
      <c r="E691" s="41">
        <v>8</v>
      </c>
      <c r="F691" s="27"/>
      <c r="G691" s="52"/>
      <c r="H691" s="32">
        <v>0</v>
      </c>
      <c r="I691" s="114"/>
      <c r="J691" s="32">
        <v>0</v>
      </c>
      <c r="K691" s="42"/>
      <c r="L691" s="52"/>
      <c r="M691" s="155">
        <v>0</v>
      </c>
    </row>
    <row r="692" spans="1:13" ht="12">
      <c r="A692" s="41">
        <v>9</v>
      </c>
      <c r="C692" s="4" t="s">
        <v>27</v>
      </c>
      <c r="E692" s="41">
        <v>9</v>
      </c>
      <c r="F692" s="27"/>
      <c r="G692" s="52">
        <f>SUM(G690:G691)</f>
        <v>0</v>
      </c>
      <c r="H692" s="32">
        <f>SUM(H690:H691)</f>
        <v>0</v>
      </c>
      <c r="I692" s="114">
        <f>SUM(I690:I691)</f>
        <v>0</v>
      </c>
      <c r="J692" s="32">
        <f>SUM(J690:J691)</f>
        <v>0</v>
      </c>
      <c r="K692" s="63"/>
      <c r="L692" s="52">
        <f>SUM(L690:L691)</f>
        <v>0</v>
      </c>
      <c r="M692" s="155">
        <f>SUM(M690:M691)</f>
        <v>0</v>
      </c>
    </row>
    <row r="693" spans="1:13" ht="12">
      <c r="A693" s="41">
        <v>10</v>
      </c>
      <c r="E693" s="41">
        <v>10</v>
      </c>
      <c r="F693" s="27"/>
      <c r="G693" s="52"/>
      <c r="H693" s="32"/>
      <c r="I693" s="114"/>
      <c r="J693" s="32"/>
      <c r="K693" s="43"/>
      <c r="L693" s="52"/>
      <c r="M693" s="155"/>
    </row>
    <row r="694" spans="1:13" ht="12">
      <c r="A694" s="41">
        <v>11</v>
      </c>
      <c r="C694" s="4" t="s">
        <v>28</v>
      </c>
      <c r="E694" s="41">
        <v>11</v>
      </c>
      <c r="G694" s="53">
        <f>SUM(G687,G692)</f>
        <v>0</v>
      </c>
      <c r="H694" s="33">
        <f>SUM(H692,H687)</f>
        <v>55646</v>
      </c>
      <c r="I694" s="115">
        <f>SUM(I687,I692)</f>
        <v>0</v>
      </c>
      <c r="J694" s="33">
        <f>SUM(J692,J687)</f>
        <v>45632.33</v>
      </c>
      <c r="K694" s="63"/>
      <c r="L694" s="53">
        <f>SUM(L687,L692)</f>
        <v>0</v>
      </c>
      <c r="M694" s="154">
        <f>SUM(M692,M687)</f>
        <v>0</v>
      </c>
    </row>
    <row r="695" spans="1:13" ht="12">
      <c r="A695" s="41">
        <v>12</v>
      </c>
      <c r="E695" s="41">
        <v>12</v>
      </c>
      <c r="G695" s="53"/>
      <c r="H695" s="33"/>
      <c r="I695" s="115"/>
      <c r="J695" s="33"/>
      <c r="K695" s="43"/>
      <c r="L695" s="53"/>
      <c r="M695" s="154"/>
    </row>
    <row r="696" spans="1:13" ht="12">
      <c r="A696" s="41">
        <v>13</v>
      </c>
      <c r="C696" s="4" t="s">
        <v>38</v>
      </c>
      <c r="E696" s="41">
        <v>13</v>
      </c>
      <c r="F696" s="27"/>
      <c r="G696" s="52"/>
      <c r="H696" s="32">
        <v>228</v>
      </c>
      <c r="I696" s="114"/>
      <c r="J696" s="32"/>
      <c r="K696" s="42"/>
      <c r="L696" s="52"/>
      <c r="M696" s="32"/>
    </row>
    <row r="697" spans="1:13" ht="12">
      <c r="A697" s="41">
        <v>14</v>
      </c>
      <c r="E697" s="41">
        <v>14</v>
      </c>
      <c r="F697" s="27"/>
      <c r="G697" s="52"/>
      <c r="H697" s="32"/>
      <c r="I697" s="114"/>
      <c r="J697" s="32"/>
      <c r="K697" s="42"/>
      <c r="L697" s="52"/>
      <c r="M697" s="32"/>
    </row>
    <row r="698" spans="1:13" ht="12">
      <c r="A698" s="41">
        <v>15</v>
      </c>
      <c r="C698" s="4" t="s">
        <v>30</v>
      </c>
      <c r="E698" s="41">
        <v>15</v>
      </c>
      <c r="F698" s="27"/>
      <c r="G698" s="52"/>
      <c r="H698" s="32">
        <v>542</v>
      </c>
      <c r="I698" s="114"/>
      <c r="J698" s="32">
        <v>1558.44</v>
      </c>
      <c r="K698" s="42"/>
      <c r="L698" s="52"/>
      <c r="M698" s="32"/>
    </row>
    <row r="699" spans="1:13" ht="12">
      <c r="A699" s="41">
        <v>16</v>
      </c>
      <c r="C699" s="4" t="s">
        <v>31</v>
      </c>
      <c r="E699" s="41">
        <v>16</v>
      </c>
      <c r="F699" s="27"/>
      <c r="G699" s="52"/>
      <c r="H699" s="32">
        <v>13448</v>
      </c>
      <c r="I699" s="114"/>
      <c r="J699" s="32">
        <f>8462.74</f>
        <v>8462.74</v>
      </c>
      <c r="K699" s="42"/>
      <c r="L699" s="52"/>
      <c r="M699" s="32">
        <v>800</v>
      </c>
    </row>
    <row r="700" spans="1:13" ht="12">
      <c r="A700" s="41"/>
      <c r="C700" s="4"/>
      <c r="E700" s="41"/>
      <c r="F700" s="27"/>
      <c r="G700" s="52"/>
      <c r="H700" s="32"/>
      <c r="I700" s="114"/>
      <c r="J700" s="32"/>
      <c r="K700" s="42"/>
      <c r="L700" s="52"/>
      <c r="M700" s="32"/>
    </row>
    <row r="701" spans="1:13" ht="12">
      <c r="A701" s="41">
        <v>17</v>
      </c>
      <c r="C701" s="4" t="s">
        <v>32</v>
      </c>
      <c r="E701" s="41">
        <v>17</v>
      </c>
      <c r="F701" s="27"/>
      <c r="G701" s="52"/>
      <c r="H701" s="32"/>
      <c r="I701" s="114"/>
      <c r="J701" s="32"/>
      <c r="K701" s="42"/>
      <c r="L701" s="52"/>
      <c r="M701" s="32">
        <v>0</v>
      </c>
    </row>
    <row r="702" spans="1:13" ht="12">
      <c r="A702" s="41">
        <v>18</v>
      </c>
      <c r="C702" s="4"/>
      <c r="E702" s="41">
        <v>18</v>
      </c>
      <c r="F702" s="27"/>
      <c r="G702" s="52"/>
      <c r="H702" s="32"/>
      <c r="I702" s="114"/>
      <c r="J702" s="32"/>
      <c r="K702" s="42"/>
      <c r="L702" s="52"/>
      <c r="M702" s="32"/>
    </row>
    <row r="703" spans="1:13" ht="12">
      <c r="A703" s="41">
        <v>19</v>
      </c>
      <c r="C703" s="4"/>
      <c r="E703" s="41">
        <v>19</v>
      </c>
      <c r="F703" s="27"/>
      <c r="G703" s="52"/>
      <c r="H703" s="32"/>
      <c r="I703" s="114"/>
      <c r="J703" s="32"/>
      <c r="K703" s="42"/>
      <c r="L703" s="52"/>
      <c r="M703" s="32"/>
    </row>
    <row r="704" spans="1:13" ht="12">
      <c r="A704" s="41">
        <v>20</v>
      </c>
      <c r="C704" s="4"/>
      <c r="E704" s="41">
        <v>20</v>
      </c>
      <c r="F704" s="27"/>
      <c r="G704" s="52"/>
      <c r="H704" s="32"/>
      <c r="I704" s="114"/>
      <c r="J704" s="32"/>
      <c r="K704" s="42"/>
      <c r="L704" s="52"/>
      <c r="M704" s="32"/>
    </row>
    <row r="705" spans="1:13" ht="12">
      <c r="A705" s="41">
        <v>21</v>
      </c>
      <c r="C705" s="4"/>
      <c r="E705" s="41">
        <v>21</v>
      </c>
      <c r="F705" s="27"/>
      <c r="G705" s="52"/>
      <c r="H705" s="32"/>
      <c r="I705" s="114"/>
      <c r="J705" s="32"/>
      <c r="K705" s="42"/>
      <c r="L705" s="52"/>
      <c r="M705" s="32"/>
    </row>
    <row r="706" spans="1:13" ht="12.75" customHeight="1">
      <c r="A706" s="41">
        <v>22</v>
      </c>
      <c r="C706" s="4"/>
      <c r="E706" s="41">
        <v>22</v>
      </c>
      <c r="F706" s="27"/>
      <c r="G706" s="52"/>
      <c r="H706" s="32"/>
      <c r="I706" s="114"/>
      <c r="J706" s="32"/>
      <c r="K706" s="42"/>
      <c r="L706" s="52"/>
      <c r="M706" s="32"/>
    </row>
    <row r="707" spans="1:13" ht="12">
      <c r="A707" s="41">
        <v>23</v>
      </c>
      <c r="C707" s="4"/>
      <c r="E707" s="41">
        <v>23</v>
      </c>
      <c r="F707" s="27"/>
      <c r="G707" s="52"/>
      <c r="H707" s="32"/>
      <c r="I707" s="114"/>
      <c r="J707" s="32"/>
      <c r="K707" s="42"/>
      <c r="L707" s="52"/>
      <c r="M707" s="32"/>
    </row>
    <row r="708" spans="1:13" ht="12">
      <c r="A708" s="41">
        <v>24</v>
      </c>
      <c r="C708" s="4"/>
      <c r="E708" s="41">
        <v>24</v>
      </c>
      <c r="F708" s="27"/>
      <c r="G708" s="52"/>
      <c r="H708" s="32"/>
      <c r="I708" s="114"/>
      <c r="J708" s="32"/>
      <c r="K708" s="42"/>
      <c r="L708" s="52"/>
      <c r="M708" s="32"/>
    </row>
    <row r="709" spans="5:13" ht="9.75" customHeight="1">
      <c r="E709" s="38"/>
      <c r="F709" s="24" t="s">
        <v>1</v>
      </c>
      <c r="G709" s="104"/>
      <c r="H709" s="24"/>
      <c r="I709" s="19" t="s">
        <v>1</v>
      </c>
      <c r="J709" s="19" t="s">
        <v>1</v>
      </c>
      <c r="K709" s="24" t="s">
        <v>1</v>
      </c>
      <c r="L709" s="19" t="s">
        <v>1</v>
      </c>
      <c r="M709" s="19" t="s">
        <v>1</v>
      </c>
    </row>
    <row r="710" spans="1:13" ht="15.75" customHeight="1">
      <c r="A710" s="41">
        <v>25</v>
      </c>
      <c r="C710" s="4" t="s">
        <v>269</v>
      </c>
      <c r="E710" s="41">
        <v>25</v>
      </c>
      <c r="G710" s="53">
        <f>SUM(G694:G701)</f>
        <v>0</v>
      </c>
      <c r="H710" s="33">
        <f>SUM(H694:H701)</f>
        <v>69864</v>
      </c>
      <c r="I710" s="115">
        <f>SUM(I694:I701)</f>
        <v>0</v>
      </c>
      <c r="J710" s="33">
        <f>SUM(J694:J701)</f>
        <v>55653.51</v>
      </c>
      <c r="K710" s="33"/>
      <c r="L710" s="53">
        <f>SUM(L694:L701)</f>
        <v>0</v>
      </c>
      <c r="M710" s="33">
        <f>SUM(M694:M701)</f>
        <v>800</v>
      </c>
    </row>
    <row r="711" spans="5:13" ht="12">
      <c r="E711" s="38"/>
      <c r="F711" s="24" t="s">
        <v>1</v>
      </c>
      <c r="G711" s="24"/>
      <c r="H711" s="24"/>
      <c r="I711" s="16" t="s">
        <v>1</v>
      </c>
      <c r="J711" s="19" t="s">
        <v>1</v>
      </c>
      <c r="K711" s="24" t="s">
        <v>1</v>
      </c>
      <c r="L711" s="16" t="s">
        <v>1</v>
      </c>
      <c r="M711" s="19" t="s">
        <v>1</v>
      </c>
    </row>
    <row r="712" spans="1:13" ht="12">
      <c r="A712" s="4"/>
      <c r="J712" s="25"/>
      <c r="M712" s="25"/>
    </row>
    <row r="713" spans="10:13" ht="12">
      <c r="J713" s="25"/>
      <c r="M713" s="25"/>
    </row>
    <row r="714" spans="1:13" s="21" customFormat="1" ht="12">
      <c r="A714" s="70" t="str">
        <f>$A$82</f>
        <v>Institution No.:  GFC</v>
      </c>
      <c r="E714" s="20"/>
      <c r="I714" s="22"/>
      <c r="J714" s="23"/>
      <c r="L714" s="22"/>
      <c r="M714" s="69" t="s">
        <v>39</v>
      </c>
    </row>
    <row r="715" spans="1:13" s="21" customFormat="1" ht="12">
      <c r="A715" s="434" t="s">
        <v>162</v>
      </c>
      <c r="B715" s="434"/>
      <c r="C715" s="434"/>
      <c r="D715" s="434"/>
      <c r="E715" s="434"/>
      <c r="F715" s="434"/>
      <c r="G715" s="434"/>
      <c r="H715" s="434"/>
      <c r="I715" s="434"/>
      <c r="J715" s="434"/>
      <c r="K715" s="434"/>
      <c r="L715" s="434"/>
      <c r="M715" s="434"/>
    </row>
    <row r="716" spans="1:13" ht="12">
      <c r="A716" s="70" t="str">
        <f>$A$42</f>
        <v>NAME: UNIVERSITY OF COLORADO AT COLORADO SPRINGS</v>
      </c>
      <c r="B716" s="70"/>
      <c r="I716" s="110"/>
      <c r="J716" s="103"/>
      <c r="L716" s="6"/>
      <c r="M716" s="72" t="str">
        <f>$M$3</f>
        <v>Date: 10/1/2007</v>
      </c>
    </row>
    <row r="717" spans="1:13" ht="12">
      <c r="A717" s="15" t="s">
        <v>1</v>
      </c>
      <c r="B717" s="15" t="s">
        <v>1</v>
      </c>
      <c r="C717" s="15" t="s">
        <v>1</v>
      </c>
      <c r="D717" s="15" t="s">
        <v>1</v>
      </c>
      <c r="E717" s="15" t="s">
        <v>1</v>
      </c>
      <c r="F717" s="15" t="s">
        <v>1</v>
      </c>
      <c r="G717" s="15"/>
      <c r="H717" s="15"/>
      <c r="I717" s="16" t="s">
        <v>1</v>
      </c>
      <c r="J717" s="19" t="s">
        <v>1</v>
      </c>
      <c r="K717" s="15" t="s">
        <v>1</v>
      </c>
      <c r="L717" s="16" t="s">
        <v>1</v>
      </c>
      <c r="M717" s="19" t="s">
        <v>1</v>
      </c>
    </row>
    <row r="718" spans="1:13" ht="12">
      <c r="A718" s="73" t="s">
        <v>2</v>
      </c>
      <c r="E718" s="73" t="s">
        <v>2</v>
      </c>
      <c r="F718" s="1"/>
      <c r="G718" s="2"/>
      <c r="H718" s="1" t="s">
        <v>172</v>
      </c>
      <c r="I718" s="2"/>
      <c r="J718" s="3" t="s">
        <v>280</v>
      </c>
      <c r="K718" s="1"/>
      <c r="L718" s="2"/>
      <c r="M718" s="3" t="s">
        <v>289</v>
      </c>
    </row>
    <row r="719" spans="1:13" ht="12">
      <c r="A719" s="73" t="s">
        <v>4</v>
      </c>
      <c r="C719" s="74" t="s">
        <v>20</v>
      </c>
      <c r="E719" s="73" t="s">
        <v>4</v>
      </c>
      <c r="F719" s="1"/>
      <c r="G719" s="2" t="s">
        <v>6</v>
      </c>
      <c r="H719" s="3" t="s">
        <v>7</v>
      </c>
      <c r="I719" s="2" t="s">
        <v>6</v>
      </c>
      <c r="J719" s="3" t="s">
        <v>7</v>
      </c>
      <c r="K719" s="1"/>
      <c r="L719" s="2" t="s">
        <v>6</v>
      </c>
      <c r="M719" s="3" t="s">
        <v>8</v>
      </c>
    </row>
    <row r="720" spans="1:13" ht="12">
      <c r="A720" s="15" t="s">
        <v>1</v>
      </c>
      <c r="B720" s="15" t="s">
        <v>1</v>
      </c>
      <c r="C720" s="15" t="s">
        <v>1</v>
      </c>
      <c r="D720" s="15" t="s">
        <v>1</v>
      </c>
      <c r="E720" s="15" t="s">
        <v>1</v>
      </c>
      <c r="F720" s="15" t="s">
        <v>1</v>
      </c>
      <c r="G720" s="15"/>
      <c r="H720" s="15"/>
      <c r="I720" s="16" t="s">
        <v>1</v>
      </c>
      <c r="J720" s="19" t="s">
        <v>1</v>
      </c>
      <c r="K720" s="15" t="s">
        <v>1</v>
      </c>
      <c r="L720" s="56" t="s">
        <v>1</v>
      </c>
      <c r="M720" s="19" t="s">
        <v>1</v>
      </c>
    </row>
    <row r="721" spans="1:13" ht="12">
      <c r="A721" s="41">
        <v>1</v>
      </c>
      <c r="C721" s="4" t="s">
        <v>36</v>
      </c>
      <c r="E721" s="41">
        <v>1</v>
      </c>
      <c r="F721" s="27"/>
      <c r="G721" s="167">
        <v>29.9</v>
      </c>
      <c r="H721" s="28">
        <f>2116307</f>
        <v>2116307</v>
      </c>
      <c r="I721" s="148">
        <v>29.85</v>
      </c>
      <c r="J721" s="28">
        <f>654565.7+5146.42+1654753.36</f>
        <v>2314465.48</v>
      </c>
      <c r="K721" s="42"/>
      <c r="L721" s="148">
        <f>I721</f>
        <v>29.85</v>
      </c>
      <c r="M721" s="28">
        <f>758367+101+1725556</f>
        <v>2484024</v>
      </c>
    </row>
    <row r="722" spans="1:13" ht="12">
      <c r="A722" s="41">
        <v>2</v>
      </c>
      <c r="C722" s="4" t="s">
        <v>37</v>
      </c>
      <c r="E722" s="41">
        <v>2</v>
      </c>
      <c r="F722" s="27"/>
      <c r="G722" s="167"/>
      <c r="H722" s="28">
        <v>514873</v>
      </c>
      <c r="I722" s="148"/>
      <c r="J722" s="28">
        <f>266368.76+334888.12</f>
        <v>601256.88</v>
      </c>
      <c r="K722" s="42"/>
      <c r="L722" s="148"/>
      <c r="M722" s="28">
        <v>599687</v>
      </c>
    </row>
    <row r="723" spans="1:13" ht="12">
      <c r="A723" s="41">
        <v>3</v>
      </c>
      <c r="E723" s="41">
        <v>3</v>
      </c>
      <c r="F723" s="27"/>
      <c r="G723" s="167"/>
      <c r="H723" s="28"/>
      <c r="I723" s="148"/>
      <c r="J723" s="28"/>
      <c r="K723" s="42"/>
      <c r="L723" s="148"/>
      <c r="M723" s="28"/>
    </row>
    <row r="724" spans="1:13" ht="12">
      <c r="A724" s="41">
        <v>4</v>
      </c>
      <c r="C724" s="4" t="s">
        <v>23</v>
      </c>
      <c r="E724" s="41">
        <v>4</v>
      </c>
      <c r="F724" s="27"/>
      <c r="G724" s="167">
        <f>SUM(G721:G723)</f>
        <v>29.9</v>
      </c>
      <c r="H724" s="28">
        <f>SUM(H721:H723)</f>
        <v>2631180</v>
      </c>
      <c r="I724" s="148">
        <f>SUM(I721:I723)</f>
        <v>29.85</v>
      </c>
      <c r="J724" s="28">
        <f>SUM(J721:J723)</f>
        <v>2915722.36</v>
      </c>
      <c r="K724" s="43"/>
      <c r="L724" s="148">
        <f>SUM(L721:L723)</f>
        <v>29.85</v>
      </c>
      <c r="M724" s="28">
        <f>SUM(M721:M723)</f>
        <v>3083711</v>
      </c>
    </row>
    <row r="725" spans="1:13" ht="12">
      <c r="A725" s="41">
        <v>5</v>
      </c>
      <c r="E725" s="41">
        <v>5</v>
      </c>
      <c r="F725" s="27"/>
      <c r="G725" s="167"/>
      <c r="H725" s="28"/>
      <c r="I725" s="148"/>
      <c r="J725" s="28"/>
      <c r="K725" s="43"/>
      <c r="L725" s="148"/>
      <c r="M725" s="28"/>
    </row>
    <row r="726" spans="1:13" ht="12">
      <c r="A726" s="41">
        <v>6</v>
      </c>
      <c r="E726" s="41">
        <v>6</v>
      </c>
      <c r="F726" s="27"/>
      <c r="G726" s="167"/>
      <c r="H726" s="28"/>
      <c r="I726" s="148"/>
      <c r="J726" s="28"/>
      <c r="K726" s="43"/>
      <c r="L726" s="148"/>
      <c r="M726" s="28"/>
    </row>
    <row r="727" spans="1:13" ht="12">
      <c r="A727" s="41">
        <v>7</v>
      </c>
      <c r="C727" s="4" t="s">
        <v>25</v>
      </c>
      <c r="E727" s="41">
        <v>7</v>
      </c>
      <c r="F727" s="27"/>
      <c r="G727" s="167">
        <v>35.4</v>
      </c>
      <c r="H727" s="28">
        <v>1448734</v>
      </c>
      <c r="I727" s="148">
        <v>34.35</v>
      </c>
      <c r="J727" s="28">
        <v>1467550.39</v>
      </c>
      <c r="K727" s="42"/>
      <c r="L727" s="148">
        <f>I727+1.2</f>
        <v>35.550000000000004</v>
      </c>
      <c r="M727" s="28">
        <v>1829517</v>
      </c>
    </row>
    <row r="728" spans="1:13" ht="12">
      <c r="A728" s="41">
        <v>8</v>
      </c>
      <c r="C728" s="4" t="s">
        <v>26</v>
      </c>
      <c r="E728" s="41">
        <v>8</v>
      </c>
      <c r="F728" s="27"/>
      <c r="G728" s="167"/>
      <c r="H728" s="28">
        <v>242912</v>
      </c>
      <c r="I728" s="148"/>
      <c r="J728" s="28">
        <v>304594.95</v>
      </c>
      <c r="K728" s="42"/>
      <c r="L728" s="148"/>
      <c r="M728" s="28">
        <v>359797</v>
      </c>
    </row>
    <row r="729" spans="1:13" ht="12">
      <c r="A729" s="41">
        <v>9</v>
      </c>
      <c r="C729" s="4" t="s">
        <v>27</v>
      </c>
      <c r="E729" s="41">
        <v>9</v>
      </c>
      <c r="F729" s="27"/>
      <c r="G729" s="167">
        <f>SUM(G727:G728)</f>
        <v>35.4</v>
      </c>
      <c r="H729" s="28">
        <f>SUM(H727:H728)</f>
        <v>1691646</v>
      </c>
      <c r="I729" s="148">
        <f>SUM(I727:I728)</f>
        <v>34.35</v>
      </c>
      <c r="J729" s="28">
        <f>SUM(J727:J728)</f>
        <v>1772145.3399999999</v>
      </c>
      <c r="K729" s="43"/>
      <c r="L729" s="148">
        <f>SUM(L727:L728)</f>
        <v>35.550000000000004</v>
      </c>
      <c r="M729" s="28">
        <f>SUM(M727:M728)</f>
        <v>2189314</v>
      </c>
    </row>
    <row r="730" spans="1:13" ht="12">
      <c r="A730" s="41">
        <v>10</v>
      </c>
      <c r="E730" s="41">
        <v>10</v>
      </c>
      <c r="F730" s="27"/>
      <c r="G730" s="167"/>
      <c r="H730" s="28"/>
      <c r="I730" s="148"/>
      <c r="J730" s="28"/>
      <c r="K730" s="43"/>
      <c r="L730" s="148"/>
      <c r="M730" s="28"/>
    </row>
    <row r="731" spans="1:13" ht="12">
      <c r="A731" s="41">
        <v>11</v>
      </c>
      <c r="C731" s="4" t="s">
        <v>28</v>
      </c>
      <c r="E731" s="41">
        <v>11</v>
      </c>
      <c r="G731" s="168">
        <f>SUM(G724,G729)</f>
        <v>65.3</v>
      </c>
      <c r="H731" s="44">
        <f>SUM(H729,H724)</f>
        <v>4322826</v>
      </c>
      <c r="I731" s="141">
        <f>SUM(I724,I729)</f>
        <v>64.2</v>
      </c>
      <c r="J731" s="44">
        <f>SUM(J729,J724)</f>
        <v>4687867.699999999</v>
      </c>
      <c r="K731" s="43"/>
      <c r="L731" s="141">
        <f>SUM(L724,L729)</f>
        <v>65.4</v>
      </c>
      <c r="M731" s="44">
        <f>SUM(M729,M724)</f>
        <v>5273025</v>
      </c>
    </row>
    <row r="732" spans="1:13" ht="12">
      <c r="A732" s="41">
        <v>12</v>
      </c>
      <c r="E732" s="41">
        <v>12</v>
      </c>
      <c r="G732" s="168"/>
      <c r="H732" s="44"/>
      <c r="I732" s="141"/>
      <c r="J732" s="44"/>
      <c r="K732" s="43"/>
      <c r="L732" s="141"/>
      <c r="M732" s="44"/>
    </row>
    <row r="733" spans="1:13" ht="12">
      <c r="A733" s="41">
        <v>13</v>
      </c>
      <c r="C733" s="4" t="s">
        <v>38</v>
      </c>
      <c r="E733" s="41">
        <v>13</v>
      </c>
      <c r="F733" s="27"/>
      <c r="G733" s="167"/>
      <c r="H733" s="28">
        <v>255959</v>
      </c>
      <c r="I733" s="148"/>
      <c r="J733" s="28">
        <f>284715.45+824.89</f>
        <v>285540.34</v>
      </c>
      <c r="K733" s="42"/>
      <c r="L733" s="148"/>
      <c r="M733" s="28">
        <f>240410+2290</f>
        <v>242700</v>
      </c>
    </row>
    <row r="734" spans="1:13" ht="12">
      <c r="A734" s="41">
        <v>14</v>
      </c>
      <c r="E734" s="41">
        <v>14</v>
      </c>
      <c r="F734" s="27"/>
      <c r="G734" s="167"/>
      <c r="H734" s="28"/>
      <c r="I734" s="148"/>
      <c r="J734" s="28"/>
      <c r="K734" s="42"/>
      <c r="L734" s="148"/>
      <c r="M734" s="28"/>
    </row>
    <row r="735" spans="1:13" ht="12">
      <c r="A735" s="41">
        <v>15</v>
      </c>
      <c r="C735" s="4" t="s">
        <v>30</v>
      </c>
      <c r="E735" s="41">
        <v>15</v>
      </c>
      <c r="F735" s="27"/>
      <c r="G735" s="167"/>
      <c r="H735" s="28">
        <v>42328</v>
      </c>
      <c r="I735" s="148"/>
      <c r="J735" s="28">
        <v>40706.64</v>
      </c>
      <c r="K735" s="42"/>
      <c r="L735" s="148"/>
      <c r="M735" s="28">
        <v>28000</v>
      </c>
    </row>
    <row r="736" spans="1:13" ht="12">
      <c r="A736" s="41">
        <v>16</v>
      </c>
      <c r="C736" s="4" t="s">
        <v>31</v>
      </c>
      <c r="E736" s="41">
        <v>16</v>
      </c>
      <c r="F736" s="27"/>
      <c r="G736" s="167"/>
      <c r="H736" s="28">
        <v>838367</v>
      </c>
      <c r="I736" s="148"/>
      <c r="J736" s="28">
        <f>1579165.33-42003.5</f>
        <v>1537161.83</v>
      </c>
      <c r="K736" s="42"/>
      <c r="L736" s="148"/>
      <c r="M736" s="28">
        <f>1571274+111894</f>
        <v>1683168</v>
      </c>
    </row>
    <row r="737" spans="1:13" ht="12">
      <c r="A737" s="41"/>
      <c r="C737" s="4"/>
      <c r="E737" s="41"/>
      <c r="F737" s="27"/>
      <c r="G737" s="167"/>
      <c r="H737" s="28"/>
      <c r="I737" s="148"/>
      <c r="J737" s="28"/>
      <c r="K737" s="42"/>
      <c r="L737" s="148"/>
      <c r="M737" s="28"/>
    </row>
    <row r="738" spans="1:13" ht="12">
      <c r="A738" s="41">
        <v>17</v>
      </c>
      <c r="C738" s="4" t="s">
        <v>32</v>
      </c>
      <c r="E738" s="41">
        <v>17</v>
      </c>
      <c r="F738" s="27"/>
      <c r="G738" s="167"/>
      <c r="H738" s="28"/>
      <c r="I738" s="148"/>
      <c r="J738" s="155">
        <v>0</v>
      </c>
      <c r="K738" s="42"/>
      <c r="L738" s="148"/>
      <c r="M738" s="28">
        <v>31485</v>
      </c>
    </row>
    <row r="739" spans="1:13" ht="12">
      <c r="A739" s="41">
        <v>18</v>
      </c>
      <c r="C739" s="4" t="s">
        <v>40</v>
      </c>
      <c r="E739" s="41">
        <v>18</v>
      </c>
      <c r="F739" s="27"/>
      <c r="G739" s="167"/>
      <c r="H739" s="28">
        <v>413275</v>
      </c>
      <c r="I739" s="148"/>
      <c r="J739" s="28">
        <f>1207433.22-956768</f>
        <v>250665.21999999997</v>
      </c>
      <c r="K739" s="42"/>
      <c r="L739" s="148"/>
      <c r="M739" s="28">
        <v>1161348</v>
      </c>
    </row>
    <row r="740" spans="1:13" ht="12">
      <c r="A740" s="41">
        <v>19</v>
      </c>
      <c r="C740" s="4" t="s">
        <v>42</v>
      </c>
      <c r="E740" s="41">
        <v>19</v>
      </c>
      <c r="F740" s="27"/>
      <c r="G740" s="167"/>
      <c r="H740" s="155">
        <v>0</v>
      </c>
      <c r="I740" s="148"/>
      <c r="J740" s="155">
        <v>0</v>
      </c>
      <c r="K740" s="42"/>
      <c r="L740" s="148"/>
      <c r="M740" s="155">
        <v>0</v>
      </c>
    </row>
    <row r="741" spans="1:13" ht="12">
      <c r="A741" s="41">
        <v>20</v>
      </c>
      <c r="C741" s="4" t="s">
        <v>115</v>
      </c>
      <c r="E741" s="41">
        <v>20</v>
      </c>
      <c r="F741" s="27"/>
      <c r="G741" s="167"/>
      <c r="H741" s="155">
        <v>0</v>
      </c>
      <c r="I741" s="148"/>
      <c r="J741" s="155">
        <v>0</v>
      </c>
      <c r="K741" s="42"/>
      <c r="L741" s="148"/>
      <c r="M741" s="155">
        <v>0</v>
      </c>
    </row>
    <row r="742" spans="1:13" ht="12">
      <c r="A742" s="41">
        <v>21</v>
      </c>
      <c r="C742" s="4"/>
      <c r="E742" s="41">
        <v>21</v>
      </c>
      <c r="F742" s="27"/>
      <c r="G742" s="167"/>
      <c r="H742" s="28"/>
      <c r="I742" s="148"/>
      <c r="J742" s="28"/>
      <c r="K742" s="42"/>
      <c r="L742" s="148"/>
      <c r="M742" s="28"/>
    </row>
    <row r="743" spans="1:13" ht="12">
      <c r="A743" s="41">
        <v>22</v>
      </c>
      <c r="C743" s="4"/>
      <c r="E743" s="41">
        <v>22</v>
      </c>
      <c r="F743" s="27"/>
      <c r="G743" s="167"/>
      <c r="H743" s="28"/>
      <c r="I743" s="148"/>
      <c r="J743" s="28"/>
      <c r="K743" s="42"/>
      <c r="L743" s="148"/>
      <c r="M743" s="28"/>
    </row>
    <row r="744" spans="1:13" ht="12">
      <c r="A744" s="41">
        <v>23</v>
      </c>
      <c r="C744" s="4"/>
      <c r="E744" s="41">
        <v>23</v>
      </c>
      <c r="F744" s="27"/>
      <c r="G744" s="167"/>
      <c r="H744" s="28"/>
      <c r="I744" s="148"/>
      <c r="J744" s="28"/>
      <c r="K744" s="42"/>
      <c r="L744" s="148"/>
      <c r="M744" s="28"/>
    </row>
    <row r="745" spans="1:13" ht="12">
      <c r="A745" s="41">
        <v>24</v>
      </c>
      <c r="C745" s="4"/>
      <c r="E745" s="41">
        <v>24</v>
      </c>
      <c r="F745" s="27"/>
      <c r="G745" s="167"/>
      <c r="H745" s="28"/>
      <c r="I745" s="148"/>
      <c r="J745" s="28"/>
      <c r="K745" s="42"/>
      <c r="L745" s="148"/>
      <c r="M745" s="28"/>
    </row>
    <row r="746" spans="5:13" ht="9.75" customHeight="1">
      <c r="E746" s="38"/>
      <c r="F746" s="24" t="s">
        <v>1</v>
      </c>
      <c r="G746" s="24"/>
      <c r="H746" s="24"/>
      <c r="I746" s="150" t="s">
        <v>1</v>
      </c>
      <c r="J746" s="19" t="s">
        <v>1</v>
      </c>
      <c r="K746" s="24" t="s">
        <v>1</v>
      </c>
      <c r="L746" s="150" t="s">
        <v>1</v>
      </c>
      <c r="M746" s="19" t="s">
        <v>1</v>
      </c>
    </row>
    <row r="747" spans="1:13" ht="16.5" customHeight="1">
      <c r="A747" s="41">
        <v>25</v>
      </c>
      <c r="C747" s="4" t="s">
        <v>270</v>
      </c>
      <c r="E747" s="41">
        <v>25</v>
      </c>
      <c r="G747" s="169">
        <f>SUM(G731:G744)</f>
        <v>65.3</v>
      </c>
      <c r="H747" s="44">
        <f>SUM(H731:H744)</f>
        <v>5872755</v>
      </c>
      <c r="I747" s="164">
        <f>SUM(I731:I744)</f>
        <v>64.2</v>
      </c>
      <c r="J747" s="44">
        <f>SUM(J731:J744)</f>
        <v>6801941.729999999</v>
      </c>
      <c r="K747" s="1"/>
      <c r="L747" s="164">
        <f>SUM(L731:L744)</f>
        <v>65.4</v>
      </c>
      <c r="M747" s="44">
        <f>SUM(M731:M744)</f>
        <v>8419726</v>
      </c>
    </row>
    <row r="748" spans="5:13" ht="12">
      <c r="E748" s="38"/>
      <c r="F748" s="24" t="s">
        <v>1</v>
      </c>
      <c r="G748" s="24"/>
      <c r="H748" s="24"/>
      <c r="I748" s="150"/>
      <c r="J748" s="19"/>
      <c r="K748" s="24"/>
      <c r="L748" s="16"/>
      <c r="M748" s="19"/>
    </row>
    <row r="749" ht="12">
      <c r="A749" s="4"/>
    </row>
    <row r="751" spans="1:13" s="21" customFormat="1" ht="12">
      <c r="A751" s="70" t="str">
        <f>$A$82</f>
        <v>Institution No.:  GFC</v>
      </c>
      <c r="E751" s="20"/>
      <c r="I751" s="22"/>
      <c r="J751" s="23"/>
      <c r="L751" s="22"/>
      <c r="M751" s="69" t="s">
        <v>41</v>
      </c>
    </row>
    <row r="752" spans="1:13" s="21" customFormat="1" ht="12">
      <c r="A752" s="434" t="s">
        <v>163</v>
      </c>
      <c r="B752" s="434"/>
      <c r="C752" s="434"/>
      <c r="D752" s="434"/>
      <c r="E752" s="434"/>
      <c r="F752" s="434"/>
      <c r="G752" s="434"/>
      <c r="H752" s="434"/>
      <c r="I752" s="434"/>
      <c r="J752" s="434"/>
      <c r="K752" s="434"/>
      <c r="L752" s="434"/>
      <c r="M752" s="434"/>
    </row>
    <row r="753" spans="1:13" ht="12">
      <c r="A753" s="70" t="str">
        <f>$A$42</f>
        <v>NAME: UNIVERSITY OF COLORADO AT COLORADO SPRINGS</v>
      </c>
      <c r="I753" s="110"/>
      <c r="J753" s="103"/>
      <c r="L753" s="6"/>
      <c r="M753" s="72" t="str">
        <f>$M$3</f>
        <v>Date: 10/1/2007</v>
      </c>
    </row>
    <row r="754" spans="1:13" ht="12">
      <c r="A754" s="15" t="s">
        <v>1</v>
      </c>
      <c r="B754" s="15" t="s">
        <v>1</v>
      </c>
      <c r="C754" s="15" t="s">
        <v>1</v>
      </c>
      <c r="D754" s="15" t="s">
        <v>1</v>
      </c>
      <c r="E754" s="15" t="s">
        <v>1</v>
      </c>
      <c r="F754" s="15" t="s">
        <v>1</v>
      </c>
      <c r="G754" s="15"/>
      <c r="H754" s="15"/>
      <c r="I754" s="16" t="s">
        <v>1</v>
      </c>
      <c r="J754" s="19" t="s">
        <v>1</v>
      </c>
      <c r="K754" s="15" t="s">
        <v>1</v>
      </c>
      <c r="L754" s="16" t="s">
        <v>1</v>
      </c>
      <c r="M754" s="19" t="s">
        <v>1</v>
      </c>
    </row>
    <row r="755" spans="1:13" ht="12">
      <c r="A755" s="73" t="s">
        <v>2</v>
      </c>
      <c r="E755" s="73" t="s">
        <v>2</v>
      </c>
      <c r="F755" s="1"/>
      <c r="G755" s="2"/>
      <c r="H755" s="1" t="s">
        <v>172</v>
      </c>
      <c r="I755" s="2"/>
      <c r="J755" s="3" t="s">
        <v>280</v>
      </c>
      <c r="K755" s="1"/>
      <c r="L755" s="2"/>
      <c r="M755" s="3" t="s">
        <v>289</v>
      </c>
    </row>
    <row r="756" spans="1:13" ht="12">
      <c r="A756" s="73" t="s">
        <v>4</v>
      </c>
      <c r="C756" s="74" t="s">
        <v>20</v>
      </c>
      <c r="E756" s="73" t="s">
        <v>4</v>
      </c>
      <c r="F756" s="1"/>
      <c r="G756" s="2" t="s">
        <v>6</v>
      </c>
      <c r="H756" s="3" t="s">
        <v>7</v>
      </c>
      <c r="I756" s="2" t="s">
        <v>6</v>
      </c>
      <c r="J756" s="3" t="s">
        <v>7</v>
      </c>
      <c r="K756" s="1"/>
      <c r="L756" s="2" t="s">
        <v>6</v>
      </c>
      <c r="M756" s="3" t="s">
        <v>8</v>
      </c>
    </row>
    <row r="757" spans="1:13" ht="12">
      <c r="A757" s="15" t="s">
        <v>1</v>
      </c>
      <c r="B757" s="15" t="s">
        <v>1</v>
      </c>
      <c r="C757" s="15" t="s">
        <v>1</v>
      </c>
      <c r="D757" s="15" t="s">
        <v>1</v>
      </c>
      <c r="E757" s="15" t="s">
        <v>1</v>
      </c>
      <c r="F757" s="15" t="s">
        <v>1</v>
      </c>
      <c r="G757" s="15"/>
      <c r="H757" s="15"/>
      <c r="I757" s="150" t="s">
        <v>1</v>
      </c>
      <c r="J757" s="19" t="s">
        <v>1</v>
      </c>
      <c r="K757" s="15" t="s">
        <v>1</v>
      </c>
      <c r="L757" s="150" t="s">
        <v>1</v>
      </c>
      <c r="M757" s="19" t="s">
        <v>1</v>
      </c>
    </row>
    <row r="758" spans="1:13" ht="12">
      <c r="A758" s="41">
        <v>1</v>
      </c>
      <c r="C758" s="4" t="s">
        <v>36</v>
      </c>
      <c r="E758" s="41">
        <v>1</v>
      </c>
      <c r="F758" s="27"/>
      <c r="G758" s="148">
        <v>14.3</v>
      </c>
      <c r="H758" s="32">
        <v>852891</v>
      </c>
      <c r="I758" s="148">
        <v>14.93</v>
      </c>
      <c r="J758" s="32">
        <f>48051.62+1040532.45</f>
        <v>1088584.07</v>
      </c>
      <c r="K758" s="42"/>
      <c r="L758" s="148">
        <f>I758+1</f>
        <v>15.93</v>
      </c>
      <c r="M758" s="28">
        <f>12172+102+1555+948209</f>
        <v>962038</v>
      </c>
    </row>
    <row r="759" spans="1:13" ht="12">
      <c r="A759" s="41">
        <v>2</v>
      </c>
      <c r="C759" s="4" t="s">
        <v>37</v>
      </c>
      <c r="E759" s="41">
        <v>2</v>
      </c>
      <c r="F759" s="27"/>
      <c r="G759" s="148"/>
      <c r="H759" s="32">
        <v>128854</v>
      </c>
      <c r="I759" s="148"/>
      <c r="J759" s="32">
        <f>53088.03+198846.81</f>
        <v>251934.84</v>
      </c>
      <c r="K759" s="42"/>
      <c r="L759" s="148"/>
      <c r="M759" s="32">
        <f>354308</f>
        <v>354308</v>
      </c>
    </row>
    <row r="760" spans="1:13" ht="12">
      <c r="A760" s="41">
        <v>3</v>
      </c>
      <c r="E760" s="41">
        <v>3</v>
      </c>
      <c r="F760" s="27"/>
      <c r="G760" s="148"/>
      <c r="H760" s="32"/>
      <c r="I760" s="148"/>
      <c r="J760" s="32"/>
      <c r="K760" s="42"/>
      <c r="L760" s="148"/>
      <c r="M760" s="32"/>
    </row>
    <row r="761" spans="1:13" ht="12">
      <c r="A761" s="41">
        <v>4</v>
      </c>
      <c r="C761" s="4" t="s">
        <v>23</v>
      </c>
      <c r="E761" s="41">
        <v>4</v>
      </c>
      <c r="F761" s="27"/>
      <c r="G761" s="148">
        <f>SUM(G758:G760)</f>
        <v>14.3</v>
      </c>
      <c r="H761" s="32">
        <f>SUM(H758:H760)</f>
        <v>981745</v>
      </c>
      <c r="I761" s="148">
        <f>SUM(I758:I760)</f>
        <v>14.93</v>
      </c>
      <c r="J761" s="32">
        <f>SUM(J758:J760)</f>
        <v>1340518.9100000001</v>
      </c>
      <c r="K761" s="43"/>
      <c r="L761" s="148">
        <f>SUM(L758:L760)</f>
        <v>15.93</v>
      </c>
      <c r="M761" s="32">
        <f>SUM(M758:M760)</f>
        <v>1316346</v>
      </c>
    </row>
    <row r="762" spans="1:13" ht="12">
      <c r="A762" s="41">
        <v>5</v>
      </c>
      <c r="E762" s="41">
        <v>5</v>
      </c>
      <c r="F762" s="27"/>
      <c r="G762" s="148"/>
      <c r="H762" s="32"/>
      <c r="I762" s="148"/>
      <c r="J762" s="32"/>
      <c r="K762" s="43"/>
      <c r="L762" s="148"/>
      <c r="M762" s="32"/>
    </row>
    <row r="763" spans="1:13" ht="12">
      <c r="A763" s="41">
        <v>6</v>
      </c>
      <c r="E763" s="41">
        <v>6</v>
      </c>
      <c r="F763" s="27"/>
      <c r="G763" s="148"/>
      <c r="H763" s="32"/>
      <c r="I763" s="148"/>
      <c r="J763" s="32"/>
      <c r="K763" s="43"/>
      <c r="L763" s="148"/>
      <c r="M763" s="32"/>
    </row>
    <row r="764" spans="1:13" ht="12">
      <c r="A764" s="41">
        <v>7</v>
      </c>
      <c r="C764" s="4" t="s">
        <v>25</v>
      </c>
      <c r="E764" s="41">
        <v>7</v>
      </c>
      <c r="F764" s="27"/>
      <c r="G764" s="148">
        <v>43.9</v>
      </c>
      <c r="H764" s="32">
        <v>1845495</v>
      </c>
      <c r="I764" s="148">
        <v>47.56</v>
      </c>
      <c r="J764" s="32">
        <v>2008902.44</v>
      </c>
      <c r="K764" s="42"/>
      <c r="L764" s="148">
        <f>I764+5</f>
        <v>52.56</v>
      </c>
      <c r="M764" s="28">
        <v>2163372</v>
      </c>
    </row>
    <row r="765" spans="1:13" ht="12">
      <c r="A765" s="41">
        <v>8</v>
      </c>
      <c r="C765" s="4" t="s">
        <v>26</v>
      </c>
      <c r="E765" s="41">
        <v>8</v>
      </c>
      <c r="F765" s="27"/>
      <c r="G765" s="148"/>
      <c r="H765" s="32">
        <v>357822</v>
      </c>
      <c r="I765" s="148"/>
      <c r="J765" s="32">
        <v>380204.96</v>
      </c>
      <c r="K765" s="42"/>
      <c r="L765" s="148"/>
      <c r="M765" s="32">
        <v>472972</v>
      </c>
    </row>
    <row r="766" spans="1:13" ht="12">
      <c r="A766" s="41">
        <v>9</v>
      </c>
      <c r="C766" s="4" t="s">
        <v>27</v>
      </c>
      <c r="E766" s="41">
        <v>9</v>
      </c>
      <c r="F766" s="27"/>
      <c r="G766" s="148">
        <f>SUM(G764:G765)</f>
        <v>43.9</v>
      </c>
      <c r="H766" s="32">
        <f>SUM(H764:H765)</f>
        <v>2203317</v>
      </c>
      <c r="I766" s="148">
        <f>SUM(I764:I765)</f>
        <v>47.56</v>
      </c>
      <c r="J766" s="32">
        <f>SUM(J764:J765)</f>
        <v>2389107.4</v>
      </c>
      <c r="K766" s="43"/>
      <c r="L766" s="148">
        <f>SUM(L764:L765)</f>
        <v>52.56</v>
      </c>
      <c r="M766" s="32">
        <f>SUM(M764:M765)</f>
        <v>2636344</v>
      </c>
    </row>
    <row r="767" spans="1:13" ht="12">
      <c r="A767" s="41">
        <v>10</v>
      </c>
      <c r="E767" s="41">
        <v>10</v>
      </c>
      <c r="F767" s="27"/>
      <c r="G767" s="148"/>
      <c r="H767" s="32"/>
      <c r="I767" s="148"/>
      <c r="J767" s="32"/>
      <c r="K767" s="43"/>
      <c r="L767" s="148"/>
      <c r="M767" s="32"/>
    </row>
    <row r="768" spans="1:13" ht="12">
      <c r="A768" s="41">
        <v>11</v>
      </c>
      <c r="C768" s="4" t="s">
        <v>28</v>
      </c>
      <c r="E768" s="41">
        <v>11</v>
      </c>
      <c r="G768" s="141">
        <f>SUM(G766,G761)</f>
        <v>58.2</v>
      </c>
      <c r="H768" s="33">
        <f>SUM(H761,H766)</f>
        <v>3185062</v>
      </c>
      <c r="I768" s="141">
        <f>SUM(I766,I761)</f>
        <v>62.49</v>
      </c>
      <c r="J768" s="33">
        <f>SUM(J766,J761)</f>
        <v>3729626.31</v>
      </c>
      <c r="K768" s="43"/>
      <c r="L768" s="141">
        <f>SUM(L766,L761)</f>
        <v>68.49000000000001</v>
      </c>
      <c r="M768" s="33">
        <f>SUM(M766,M761)</f>
        <v>3952690</v>
      </c>
    </row>
    <row r="769" spans="1:13" ht="12">
      <c r="A769" s="41">
        <v>12</v>
      </c>
      <c r="E769" s="41">
        <v>12</v>
      </c>
      <c r="G769" s="141"/>
      <c r="H769" s="33"/>
      <c r="I769" s="141"/>
      <c r="J769" s="33"/>
      <c r="K769" s="43"/>
      <c r="L769" s="141"/>
      <c r="M769" s="33"/>
    </row>
    <row r="770" spans="1:13" ht="12">
      <c r="A770" s="41">
        <v>13</v>
      </c>
      <c r="C770" s="4" t="s">
        <v>38</v>
      </c>
      <c r="E770" s="41">
        <v>13</v>
      </c>
      <c r="F770" s="27"/>
      <c r="G770" s="148"/>
      <c r="H770" s="32">
        <v>184807</v>
      </c>
      <c r="I770" s="148"/>
      <c r="J770" s="32">
        <f>281972.64+1004.61</f>
        <v>282977.25</v>
      </c>
      <c r="K770" s="42"/>
      <c r="L770" s="148"/>
      <c r="M770" s="32">
        <f>139310+3153</f>
        <v>142463</v>
      </c>
    </row>
    <row r="771" spans="1:13" ht="12">
      <c r="A771" s="41">
        <v>14</v>
      </c>
      <c r="E771" s="41">
        <v>14</v>
      </c>
      <c r="F771" s="27"/>
      <c r="G771" s="148"/>
      <c r="H771" s="32"/>
      <c r="I771" s="148"/>
      <c r="J771" s="32"/>
      <c r="K771" s="42"/>
      <c r="L771" s="148"/>
      <c r="M771" s="32"/>
    </row>
    <row r="772" spans="1:13" ht="12">
      <c r="A772" s="41">
        <v>15</v>
      </c>
      <c r="C772" s="4" t="s">
        <v>30</v>
      </c>
      <c r="E772" s="41">
        <v>15</v>
      </c>
      <c r="F772" s="27"/>
      <c r="G772" s="148"/>
      <c r="H772" s="32">
        <v>62046</v>
      </c>
      <c r="I772" s="148"/>
      <c r="J772" s="32">
        <v>73667.77</v>
      </c>
      <c r="K772" s="42"/>
      <c r="L772" s="148"/>
      <c r="M772" s="32">
        <v>57580</v>
      </c>
    </row>
    <row r="773" spans="1:13" ht="12">
      <c r="A773" s="41">
        <v>16</v>
      </c>
      <c r="C773" s="4" t="s">
        <v>31</v>
      </c>
      <c r="E773" s="41">
        <v>16</v>
      </c>
      <c r="F773" s="27"/>
      <c r="G773" s="148"/>
      <c r="H773" s="32">
        <v>456474</v>
      </c>
      <c r="I773" s="148"/>
      <c r="J773" s="32">
        <f>729049.82-393305.99</f>
        <v>335743.82999999996</v>
      </c>
      <c r="K773" s="42"/>
      <c r="L773" s="148"/>
      <c r="M773" s="32">
        <f>741243+80215</f>
        <v>821458</v>
      </c>
    </row>
    <row r="774" spans="1:13" ht="12">
      <c r="A774" s="41"/>
      <c r="C774" s="4"/>
      <c r="E774" s="41"/>
      <c r="F774" s="27"/>
      <c r="G774" s="148"/>
      <c r="H774" s="32"/>
      <c r="I774" s="148"/>
      <c r="J774" s="32"/>
      <c r="K774" s="42"/>
      <c r="L774" s="148"/>
      <c r="M774" s="32"/>
    </row>
    <row r="775" spans="1:13" ht="12">
      <c r="A775" s="41">
        <v>17</v>
      </c>
      <c r="C775" s="4" t="s">
        <v>32</v>
      </c>
      <c r="E775" s="41">
        <v>17</v>
      </c>
      <c r="F775" s="27"/>
      <c r="G775" s="148"/>
      <c r="H775" s="32"/>
      <c r="I775" s="148"/>
      <c r="J775" s="32"/>
      <c r="K775" s="42"/>
      <c r="L775" s="148"/>
      <c r="M775" s="32"/>
    </row>
    <row r="776" spans="1:13" ht="12">
      <c r="A776" s="41">
        <v>18</v>
      </c>
      <c r="C776" s="5" t="s">
        <v>312</v>
      </c>
      <c r="E776" s="41">
        <v>18</v>
      </c>
      <c r="F776" s="27"/>
      <c r="G776" s="148"/>
      <c r="H776" s="32">
        <v>16200</v>
      </c>
      <c r="I776" s="148"/>
      <c r="J776" s="32"/>
      <c r="K776" s="42"/>
      <c r="L776" s="148"/>
      <c r="M776" s="32"/>
    </row>
    <row r="777" spans="1:13" ht="12">
      <c r="A777" s="41">
        <v>19</v>
      </c>
      <c r="C777" s="4" t="s">
        <v>42</v>
      </c>
      <c r="E777" s="41">
        <v>19</v>
      </c>
      <c r="F777" s="27"/>
      <c r="G777" s="148"/>
      <c r="H777" s="155">
        <v>0</v>
      </c>
      <c r="I777" s="148"/>
      <c r="J777" s="155">
        <v>0</v>
      </c>
      <c r="K777" s="42"/>
      <c r="L777" s="148"/>
      <c r="M777" s="155">
        <v>0</v>
      </c>
    </row>
    <row r="778" spans="1:13" ht="12">
      <c r="A778" s="41">
        <v>20</v>
      </c>
      <c r="C778" s="4"/>
      <c r="E778" s="41">
        <v>20</v>
      </c>
      <c r="F778" s="27"/>
      <c r="G778" s="148"/>
      <c r="H778" s="32"/>
      <c r="I778" s="148"/>
      <c r="J778" s="32"/>
      <c r="K778" s="42"/>
      <c r="L778" s="148"/>
      <c r="M778" s="32"/>
    </row>
    <row r="779" spans="1:13" ht="12">
      <c r="A779" s="41">
        <v>21</v>
      </c>
      <c r="C779" s="4"/>
      <c r="E779" s="41">
        <v>21</v>
      </c>
      <c r="F779" s="27"/>
      <c r="G779" s="148"/>
      <c r="H779" s="32"/>
      <c r="I779" s="148"/>
      <c r="J779" s="32"/>
      <c r="K779" s="42"/>
      <c r="L779" s="148"/>
      <c r="M779" s="32"/>
    </row>
    <row r="780" spans="1:13" ht="12">
      <c r="A780" s="41">
        <v>22</v>
      </c>
      <c r="C780" s="4"/>
      <c r="E780" s="41">
        <v>22</v>
      </c>
      <c r="F780" s="27"/>
      <c r="G780" s="148"/>
      <c r="H780" s="32"/>
      <c r="I780" s="148"/>
      <c r="J780" s="32"/>
      <c r="K780" s="42"/>
      <c r="L780" s="148"/>
      <c r="M780" s="32"/>
    </row>
    <row r="781" spans="1:13" ht="12">
      <c r="A781" s="41">
        <v>23</v>
      </c>
      <c r="C781" s="4"/>
      <c r="E781" s="41">
        <v>23</v>
      </c>
      <c r="F781" s="27"/>
      <c r="G781" s="148"/>
      <c r="H781" s="32"/>
      <c r="I781" s="148"/>
      <c r="J781" s="32"/>
      <c r="K781" s="42"/>
      <c r="L781" s="148"/>
      <c r="M781" s="32"/>
    </row>
    <row r="782" spans="1:13" ht="12">
      <c r="A782" s="41">
        <v>24</v>
      </c>
      <c r="C782" s="4"/>
      <c r="E782" s="41">
        <v>24</v>
      </c>
      <c r="F782" s="27"/>
      <c r="G782" s="148"/>
      <c r="H782" s="32"/>
      <c r="I782" s="148"/>
      <c r="J782" s="32"/>
      <c r="K782" s="42"/>
      <c r="L782" s="148"/>
      <c r="M782" s="32"/>
    </row>
    <row r="783" spans="5:13" ht="10.5" customHeight="1">
      <c r="E783" s="38"/>
      <c r="F783" s="24" t="s">
        <v>1</v>
      </c>
      <c r="G783" s="150"/>
      <c r="H783" s="24"/>
      <c r="I783" s="150" t="s">
        <v>1</v>
      </c>
      <c r="J783" s="19" t="s">
        <v>1</v>
      </c>
      <c r="K783" s="24" t="s">
        <v>1</v>
      </c>
      <c r="L783" s="150" t="s">
        <v>1</v>
      </c>
      <c r="M783" s="19" t="s">
        <v>1</v>
      </c>
    </row>
    <row r="784" spans="1:13" ht="16.5" customHeight="1">
      <c r="A784" s="41">
        <v>25</v>
      </c>
      <c r="C784" s="4" t="s">
        <v>271</v>
      </c>
      <c r="E784" s="41">
        <v>25</v>
      </c>
      <c r="G784" s="141">
        <f>SUM(G768:G782)</f>
        <v>58.2</v>
      </c>
      <c r="H784" s="44">
        <f>SUM(H768:H782)</f>
        <v>3904589</v>
      </c>
      <c r="I784" s="141">
        <f>SUM(I768:I782)</f>
        <v>62.49</v>
      </c>
      <c r="J784" s="44">
        <f>SUM(J768:J782)</f>
        <v>4422015.16</v>
      </c>
      <c r="K784" s="1"/>
      <c r="L784" s="141">
        <f>SUM(L768:L782)</f>
        <v>68.49000000000001</v>
      </c>
      <c r="M784" s="44">
        <f>SUM(M768:M782)</f>
        <v>4974191</v>
      </c>
    </row>
    <row r="785" spans="5:13" ht="12">
      <c r="E785" s="38"/>
      <c r="F785" s="24" t="s">
        <v>1</v>
      </c>
      <c r="G785" s="24"/>
      <c r="H785" s="24"/>
      <c r="I785" s="150" t="s">
        <v>1</v>
      </c>
      <c r="J785" s="19" t="s">
        <v>1</v>
      </c>
      <c r="K785" s="24" t="s">
        <v>1</v>
      </c>
      <c r="L785" s="150" t="s">
        <v>1</v>
      </c>
      <c r="M785" s="19" t="s">
        <v>1</v>
      </c>
    </row>
    <row r="787" ht="12">
      <c r="A787" s="4"/>
    </row>
    <row r="788" spans="1:13" s="21" customFormat="1" ht="12">
      <c r="A788" s="70" t="str">
        <f>$A$82</f>
        <v>Institution No.:  GFC</v>
      </c>
      <c r="E788" s="20"/>
      <c r="I788" s="22"/>
      <c r="J788" s="23"/>
      <c r="L788" s="22"/>
      <c r="M788" s="69" t="s">
        <v>43</v>
      </c>
    </row>
    <row r="789" spans="1:13" s="21" customFormat="1" ht="12">
      <c r="A789" s="434" t="s">
        <v>164</v>
      </c>
      <c r="B789" s="434"/>
      <c r="C789" s="434"/>
      <c r="D789" s="434"/>
      <c r="E789" s="434"/>
      <c r="F789" s="434"/>
      <c r="G789" s="434"/>
      <c r="H789" s="434"/>
      <c r="I789" s="434"/>
      <c r="J789" s="434"/>
      <c r="K789" s="434"/>
      <c r="L789" s="434"/>
      <c r="M789" s="434"/>
    </row>
    <row r="790" spans="1:13" ht="12">
      <c r="A790" s="70" t="str">
        <f>$A$42</f>
        <v>NAME: UNIVERSITY OF COLORADO AT COLORADO SPRINGS</v>
      </c>
      <c r="F790" s="106"/>
      <c r="G790" s="106"/>
      <c r="H790" s="106"/>
      <c r="I790" s="102"/>
      <c r="J790" s="25"/>
      <c r="L790" s="6"/>
      <c r="M790" s="72" t="str">
        <f>$M$3</f>
        <v>Date: 10/1/2007</v>
      </c>
    </row>
    <row r="791" spans="1:13" ht="12">
      <c r="A791" s="15" t="s">
        <v>1</v>
      </c>
      <c r="B791" s="15" t="s">
        <v>1</v>
      </c>
      <c r="C791" s="15" t="s">
        <v>1</v>
      </c>
      <c r="D791" s="15" t="s">
        <v>1</v>
      </c>
      <c r="E791" s="15" t="s">
        <v>1</v>
      </c>
      <c r="F791" s="15" t="s">
        <v>1</v>
      </c>
      <c r="G791" s="15"/>
      <c r="H791" s="15"/>
      <c r="I791" s="16" t="s">
        <v>1</v>
      </c>
      <c r="J791" s="19" t="s">
        <v>1</v>
      </c>
      <c r="K791" s="15" t="s">
        <v>1</v>
      </c>
      <c r="L791" s="16" t="s">
        <v>1</v>
      </c>
      <c r="M791" s="19" t="s">
        <v>1</v>
      </c>
    </row>
    <row r="792" spans="1:13" ht="12">
      <c r="A792" s="73" t="s">
        <v>2</v>
      </c>
      <c r="E792" s="73" t="s">
        <v>2</v>
      </c>
      <c r="F792" s="1"/>
      <c r="G792" s="2"/>
      <c r="H792" s="1" t="s">
        <v>172</v>
      </c>
      <c r="I792" s="2"/>
      <c r="J792" s="3" t="s">
        <v>280</v>
      </c>
      <c r="K792" s="1"/>
      <c r="L792" s="2"/>
      <c r="M792" s="3" t="s">
        <v>289</v>
      </c>
    </row>
    <row r="793" spans="1:13" ht="12">
      <c r="A793" s="73" t="s">
        <v>4</v>
      </c>
      <c r="C793" s="74" t="s">
        <v>20</v>
      </c>
      <c r="E793" s="73" t="s">
        <v>4</v>
      </c>
      <c r="F793" s="1"/>
      <c r="G793" s="2" t="s">
        <v>6</v>
      </c>
      <c r="H793" s="3" t="s">
        <v>7</v>
      </c>
      <c r="I793" s="2" t="s">
        <v>6</v>
      </c>
      <c r="J793" s="3" t="s">
        <v>7</v>
      </c>
      <c r="K793" s="1"/>
      <c r="L793" s="2" t="s">
        <v>6</v>
      </c>
      <c r="M793" s="3" t="s">
        <v>8</v>
      </c>
    </row>
    <row r="794" spans="1:13" ht="12">
      <c r="A794" s="15" t="s">
        <v>1</v>
      </c>
      <c r="B794" s="15" t="s">
        <v>1</v>
      </c>
      <c r="C794" s="15" t="s">
        <v>1</v>
      </c>
      <c r="D794" s="15" t="s">
        <v>1</v>
      </c>
      <c r="E794" s="15" t="s">
        <v>1</v>
      </c>
      <c r="F794" s="15" t="s">
        <v>1</v>
      </c>
      <c r="G794" s="15"/>
      <c r="H794" s="15"/>
      <c r="I794" s="150" t="s">
        <v>1</v>
      </c>
      <c r="J794" s="19" t="s">
        <v>1</v>
      </c>
      <c r="K794" s="15" t="s">
        <v>1</v>
      </c>
      <c r="L794" s="150" t="s">
        <v>1</v>
      </c>
      <c r="M794" s="19" t="s">
        <v>1</v>
      </c>
    </row>
    <row r="795" spans="1:13" ht="12">
      <c r="A795" s="41">
        <v>1</v>
      </c>
      <c r="C795" s="4" t="s">
        <v>36</v>
      </c>
      <c r="E795" s="41">
        <v>1</v>
      </c>
      <c r="F795" s="27"/>
      <c r="G795" s="147">
        <v>36.9</v>
      </c>
      <c r="H795" s="28">
        <v>2727444</v>
      </c>
      <c r="I795" s="147">
        <f>23.45+8.3</f>
        <v>31.75</v>
      </c>
      <c r="J795" s="28">
        <f>41968.54+2088796.01+8258</f>
        <v>2139022.55</v>
      </c>
      <c r="K795" s="42"/>
      <c r="L795" s="147">
        <f>I795+1</f>
        <v>32.75</v>
      </c>
      <c r="M795" s="28">
        <f>46879+4365+2573776+784713</f>
        <v>3409733</v>
      </c>
    </row>
    <row r="796" spans="1:13" ht="12">
      <c r="A796" s="41">
        <v>2</v>
      </c>
      <c r="C796" s="4" t="s">
        <v>37</v>
      </c>
      <c r="E796" s="41">
        <v>2</v>
      </c>
      <c r="F796" s="27"/>
      <c r="G796" s="147"/>
      <c r="H796" s="28">
        <v>808478</v>
      </c>
      <c r="I796" s="147"/>
      <c r="J796" s="28">
        <f>334217.16+415604.06</f>
        <v>749821.22</v>
      </c>
      <c r="K796" s="42"/>
      <c r="L796" s="147"/>
      <c r="M796" s="28">
        <f>859794+120884</f>
        <v>980678</v>
      </c>
    </row>
    <row r="797" spans="1:13" ht="12">
      <c r="A797" s="41">
        <v>3</v>
      </c>
      <c r="E797" s="41">
        <v>3</v>
      </c>
      <c r="F797" s="27"/>
      <c r="G797" s="147"/>
      <c r="H797" s="28"/>
      <c r="I797" s="147"/>
      <c r="J797" s="28"/>
      <c r="K797" s="42"/>
      <c r="L797" s="147"/>
      <c r="M797" s="28"/>
    </row>
    <row r="798" spans="1:13" ht="12">
      <c r="A798" s="41">
        <v>4</v>
      </c>
      <c r="C798" s="4" t="s">
        <v>23</v>
      </c>
      <c r="E798" s="41">
        <v>4</v>
      </c>
      <c r="F798" s="27"/>
      <c r="G798" s="147">
        <f>SUM(G795:G797)</f>
        <v>36.9</v>
      </c>
      <c r="H798" s="28">
        <f>SUM(H795:H797)</f>
        <v>3535922</v>
      </c>
      <c r="I798" s="147">
        <f>SUM(I795:I797)</f>
        <v>31.75</v>
      </c>
      <c r="J798" s="28">
        <f>SUM(J795:J797)</f>
        <v>2888843.7699999996</v>
      </c>
      <c r="K798" s="43"/>
      <c r="L798" s="147">
        <f>SUM(L795:L797)</f>
        <v>32.75</v>
      </c>
      <c r="M798" s="28">
        <f>SUM(M795:M797)</f>
        <v>4390411</v>
      </c>
    </row>
    <row r="799" spans="1:13" ht="12">
      <c r="A799" s="41">
        <v>5</v>
      </c>
      <c r="E799" s="41">
        <v>5</v>
      </c>
      <c r="F799" s="27"/>
      <c r="G799" s="147"/>
      <c r="H799" s="28"/>
      <c r="I799" s="147"/>
      <c r="J799" s="28"/>
      <c r="K799" s="43"/>
      <c r="L799" s="147"/>
      <c r="M799" s="28"/>
    </row>
    <row r="800" spans="1:13" ht="12">
      <c r="A800" s="41">
        <v>6</v>
      </c>
      <c r="E800" s="41">
        <v>6</v>
      </c>
      <c r="F800" s="27"/>
      <c r="G800" s="147"/>
      <c r="H800" s="28"/>
      <c r="I800" s="147"/>
      <c r="J800" s="28"/>
      <c r="K800" s="43"/>
      <c r="L800" s="147"/>
      <c r="M800" s="28"/>
    </row>
    <row r="801" spans="1:13" ht="12">
      <c r="A801" s="41">
        <v>7</v>
      </c>
      <c r="C801" s="4" t="s">
        <v>25</v>
      </c>
      <c r="E801" s="41">
        <v>7</v>
      </c>
      <c r="F801" s="27"/>
      <c r="G801" s="147">
        <v>45.8</v>
      </c>
      <c r="H801" s="28">
        <v>1768931</v>
      </c>
      <c r="I801" s="147">
        <f>32.1+7</f>
        <v>39.1</v>
      </c>
      <c r="J801" s="28">
        <v>1443256.19</v>
      </c>
      <c r="K801" s="42"/>
      <c r="L801" s="147">
        <f>I801+4.4+1.2</f>
        <v>44.7</v>
      </c>
      <c r="M801" s="28">
        <f>1434174+736993</f>
        <v>2171167</v>
      </c>
    </row>
    <row r="802" spans="1:13" ht="12">
      <c r="A802" s="41">
        <v>8</v>
      </c>
      <c r="C802" s="4" t="s">
        <v>26</v>
      </c>
      <c r="E802" s="41">
        <v>8</v>
      </c>
      <c r="F802" s="27"/>
      <c r="G802" s="147"/>
      <c r="H802" s="28">
        <v>444969</v>
      </c>
      <c r="I802" s="147"/>
      <c r="J802" s="28">
        <v>433825.91</v>
      </c>
      <c r="K802" s="42"/>
      <c r="L802" s="147"/>
      <c r="M802" s="28">
        <f>449176+172047</f>
        <v>621223</v>
      </c>
    </row>
    <row r="803" spans="1:13" ht="12">
      <c r="A803" s="41">
        <v>9</v>
      </c>
      <c r="C803" s="4" t="s">
        <v>27</v>
      </c>
      <c r="E803" s="41">
        <v>9</v>
      </c>
      <c r="F803" s="27"/>
      <c r="G803" s="147">
        <f>SUM(G801:G802)</f>
        <v>45.8</v>
      </c>
      <c r="H803" s="28">
        <f>SUM(H801:H802)</f>
        <v>2213900</v>
      </c>
      <c r="I803" s="147">
        <f>SUM(I801:I802)</f>
        <v>39.1</v>
      </c>
      <c r="J803" s="28">
        <f>SUM(J801:J802)</f>
        <v>1877082.0999999999</v>
      </c>
      <c r="K803" s="43"/>
      <c r="L803" s="147">
        <f>SUM(L801:L802)</f>
        <v>44.7</v>
      </c>
      <c r="M803" s="28">
        <f>SUM(M801:M802)</f>
        <v>2792390</v>
      </c>
    </row>
    <row r="804" spans="1:13" ht="12">
      <c r="A804" s="41">
        <v>10</v>
      </c>
      <c r="E804" s="41">
        <v>10</v>
      </c>
      <c r="F804" s="27"/>
      <c r="G804" s="147"/>
      <c r="H804" s="28"/>
      <c r="I804" s="147"/>
      <c r="J804" s="28"/>
      <c r="K804" s="43"/>
      <c r="L804" s="147"/>
      <c r="M804" s="28"/>
    </row>
    <row r="805" spans="1:13" ht="12">
      <c r="A805" s="41">
        <v>11</v>
      </c>
      <c r="C805" s="4" t="s">
        <v>28</v>
      </c>
      <c r="E805" s="41">
        <v>11</v>
      </c>
      <c r="F805" s="27"/>
      <c r="G805" s="147">
        <f>SUM(G803,G798)</f>
        <v>82.69999999999999</v>
      </c>
      <c r="H805" s="28">
        <f>SUM(H803,H798)</f>
        <v>5749822</v>
      </c>
      <c r="I805" s="147">
        <f>SUM(I803,I798)</f>
        <v>70.85</v>
      </c>
      <c r="J805" s="28">
        <f>SUM(J803,J798)</f>
        <v>4765925.869999999</v>
      </c>
      <c r="K805" s="43"/>
      <c r="L805" s="147">
        <f>SUM(L803,L798)</f>
        <v>77.45</v>
      </c>
      <c r="M805" s="28">
        <f>SUM(M803,M798)</f>
        <v>7182801</v>
      </c>
    </row>
    <row r="806" spans="1:13" ht="12">
      <c r="A806" s="41">
        <v>12</v>
      </c>
      <c r="E806" s="41">
        <v>12</v>
      </c>
      <c r="F806" s="27"/>
      <c r="G806" s="147"/>
      <c r="H806" s="28"/>
      <c r="I806" s="147"/>
      <c r="J806" s="28"/>
      <c r="K806" s="43"/>
      <c r="L806" s="147"/>
      <c r="M806" s="28"/>
    </row>
    <row r="807" spans="1:13" ht="12">
      <c r="A807" s="41">
        <v>13</v>
      </c>
      <c r="C807" s="4" t="s">
        <v>38</v>
      </c>
      <c r="E807" s="41">
        <v>13</v>
      </c>
      <c r="F807" s="27"/>
      <c r="G807" s="147"/>
      <c r="H807" s="28">
        <v>84955</v>
      </c>
      <c r="I807" s="147"/>
      <c r="J807" s="28">
        <f>81432.02+296.56</f>
        <v>81728.58</v>
      </c>
      <c r="K807" s="42"/>
      <c r="L807" s="147"/>
      <c r="M807" s="28">
        <f>61070+5036+17642+767</f>
        <v>84515</v>
      </c>
    </row>
    <row r="808" spans="1:13" ht="12">
      <c r="A808" s="41">
        <v>14</v>
      </c>
      <c r="E808" s="41">
        <v>14</v>
      </c>
      <c r="F808" s="27"/>
      <c r="G808" s="147"/>
      <c r="H808" s="28"/>
      <c r="I808" s="147"/>
      <c r="J808" s="28"/>
      <c r="K808" s="42"/>
      <c r="L808" s="147"/>
      <c r="M808" s="28"/>
    </row>
    <row r="809" spans="1:13" ht="12">
      <c r="A809" s="41">
        <v>15</v>
      </c>
      <c r="C809" s="4" t="s">
        <v>30</v>
      </c>
      <c r="E809" s="41">
        <v>15</v>
      </c>
      <c r="F809" s="27"/>
      <c r="G809" s="147"/>
      <c r="H809" s="28">
        <v>59546</v>
      </c>
      <c r="I809" s="147"/>
      <c r="J809" s="28">
        <v>82040.92</v>
      </c>
      <c r="K809" s="42"/>
      <c r="L809" s="147"/>
      <c r="M809" s="28">
        <v>58594</v>
      </c>
    </row>
    <row r="810" spans="1:13" ht="12">
      <c r="A810" s="41">
        <v>16</v>
      </c>
      <c r="C810" s="4" t="s">
        <v>31</v>
      </c>
      <c r="E810" s="41">
        <v>16</v>
      </c>
      <c r="F810" s="27"/>
      <c r="G810" s="147"/>
      <c r="H810" s="28">
        <v>347588</v>
      </c>
      <c r="I810" s="147"/>
      <c r="J810" s="28">
        <f>1985003.28+739438.37-3200</f>
        <v>2721241.65</v>
      </c>
      <c r="K810" s="42"/>
      <c r="L810" s="147"/>
      <c r="M810" s="28">
        <f>2193709-1313888+729697</f>
        <v>1609518</v>
      </c>
    </row>
    <row r="811" spans="1:13" ht="12">
      <c r="A811" s="41">
        <v>17</v>
      </c>
      <c r="C811" s="4" t="s">
        <v>32</v>
      </c>
      <c r="E811" s="41">
        <v>17</v>
      </c>
      <c r="F811" s="27"/>
      <c r="G811" s="147"/>
      <c r="H811" s="28"/>
      <c r="I811" s="147"/>
      <c r="J811" s="28">
        <v>0</v>
      </c>
      <c r="K811" s="42"/>
      <c r="L811" s="147"/>
      <c r="M811" s="28">
        <v>1089</v>
      </c>
    </row>
    <row r="812" spans="1:13" ht="12">
      <c r="A812" s="41">
        <v>18</v>
      </c>
      <c r="E812" s="41">
        <v>18</v>
      </c>
      <c r="F812" s="27"/>
      <c r="G812" s="147"/>
      <c r="H812" s="28"/>
      <c r="I812" s="147"/>
      <c r="J812" s="28"/>
      <c r="K812" s="42"/>
      <c r="L812" s="147"/>
      <c r="M812" s="28"/>
    </row>
    <row r="813" spans="1:13" ht="12">
      <c r="A813" s="41">
        <v>19</v>
      </c>
      <c r="C813" s="4" t="s">
        <v>42</v>
      </c>
      <c r="E813" s="41">
        <v>19</v>
      </c>
      <c r="F813" s="27"/>
      <c r="G813" s="147"/>
      <c r="H813" s="158">
        <v>0</v>
      </c>
      <c r="I813" s="147"/>
      <c r="J813" s="155">
        <v>0</v>
      </c>
      <c r="K813" s="42"/>
      <c r="L813" s="147"/>
      <c r="M813" s="155">
        <v>0</v>
      </c>
    </row>
    <row r="814" spans="1:13" ht="12">
      <c r="A814" s="41">
        <v>20</v>
      </c>
      <c r="C814" s="4"/>
      <c r="E814" s="41">
        <v>20</v>
      </c>
      <c r="F814" s="27"/>
      <c r="G814" s="147"/>
      <c r="H814" s="28"/>
      <c r="I814" s="147"/>
      <c r="J814" s="28"/>
      <c r="K814" s="42"/>
      <c r="L814" s="147"/>
      <c r="M814" s="28"/>
    </row>
    <row r="815" spans="1:13" ht="12">
      <c r="A815" s="41">
        <v>21</v>
      </c>
      <c r="C815" s="4"/>
      <c r="E815" s="41">
        <v>21</v>
      </c>
      <c r="F815" s="27"/>
      <c r="G815" s="147"/>
      <c r="H815" s="28"/>
      <c r="I815" s="147"/>
      <c r="J815" s="28"/>
      <c r="K815" s="42"/>
      <c r="L815" s="147"/>
      <c r="M815" s="28"/>
    </row>
    <row r="816" spans="1:13" ht="12">
      <c r="A816" s="41">
        <v>22</v>
      </c>
      <c r="C816" s="4"/>
      <c r="E816" s="41">
        <v>22</v>
      </c>
      <c r="F816" s="27"/>
      <c r="G816" s="147"/>
      <c r="H816" s="28"/>
      <c r="I816" s="147"/>
      <c r="J816" s="28"/>
      <c r="K816" s="42"/>
      <c r="L816" s="147"/>
      <c r="M816" s="28"/>
    </row>
    <row r="817" spans="1:13" ht="12">
      <c r="A817" s="41">
        <v>23</v>
      </c>
      <c r="C817" s="4"/>
      <c r="E817" s="41">
        <v>23</v>
      </c>
      <c r="F817" s="27"/>
      <c r="G817" s="147"/>
      <c r="H817" s="28"/>
      <c r="I817" s="147"/>
      <c r="J817" s="28"/>
      <c r="K817" s="42"/>
      <c r="L817" s="147"/>
      <c r="M817" s="28"/>
    </row>
    <row r="818" spans="1:13" ht="10.5" customHeight="1">
      <c r="A818" s="41">
        <v>24</v>
      </c>
      <c r="C818" s="4"/>
      <c r="E818" s="41">
        <v>24</v>
      </c>
      <c r="F818" s="27"/>
      <c r="G818" s="170"/>
      <c r="H818" s="29"/>
      <c r="I818" s="170"/>
      <c r="J818" s="29"/>
      <c r="K818" s="27"/>
      <c r="L818" s="170"/>
      <c r="M818" s="29"/>
    </row>
    <row r="819" spans="5:13" ht="12">
      <c r="E819" s="38"/>
      <c r="F819" s="24" t="s">
        <v>1</v>
      </c>
      <c r="G819" s="150"/>
      <c r="H819" s="24"/>
      <c r="I819" s="150" t="s">
        <v>1</v>
      </c>
      <c r="J819" s="19" t="s">
        <v>1</v>
      </c>
      <c r="K819" s="24" t="s">
        <v>1</v>
      </c>
      <c r="L819" s="150" t="s">
        <v>1</v>
      </c>
      <c r="M819" s="19" t="s">
        <v>1</v>
      </c>
    </row>
    <row r="820" spans="1:13" ht="16.5" customHeight="1">
      <c r="A820" s="41">
        <v>25</v>
      </c>
      <c r="C820" s="4" t="s">
        <v>272</v>
      </c>
      <c r="E820" s="41">
        <v>25</v>
      </c>
      <c r="G820" s="143">
        <f>SUM(G805:G818)</f>
        <v>82.69999999999999</v>
      </c>
      <c r="H820" s="44">
        <f>SUM(H805:H818)</f>
        <v>6241911</v>
      </c>
      <c r="I820" s="143">
        <f>SUM(I805:I818)</f>
        <v>70.85</v>
      </c>
      <c r="J820" s="44">
        <f>SUM(J805:J818)</f>
        <v>7650937.02</v>
      </c>
      <c r="K820" s="43"/>
      <c r="L820" s="143">
        <f>SUM(L805:L818)</f>
        <v>77.45</v>
      </c>
      <c r="M820" s="44">
        <f>SUM(M805:M818)</f>
        <v>8936517</v>
      </c>
    </row>
    <row r="821" spans="5:13" ht="12">
      <c r="E821" s="38"/>
      <c r="F821" s="24" t="s">
        <v>1</v>
      </c>
      <c r="G821" s="24"/>
      <c r="H821" s="24"/>
      <c r="I821" s="16"/>
      <c r="J821" s="19"/>
      <c r="K821" s="24"/>
      <c r="L821" s="16"/>
      <c r="M821" s="19"/>
    </row>
    <row r="822" ht="12">
      <c r="A822" s="4"/>
    </row>
    <row r="824" spans="1:13" s="21" customFormat="1" ht="12">
      <c r="A824" s="70" t="str">
        <f>$A$82</f>
        <v>Institution No.:  GFC</v>
      </c>
      <c r="E824" s="20"/>
      <c r="I824" s="22"/>
      <c r="J824" s="23"/>
      <c r="L824" s="22"/>
      <c r="M824" s="69" t="s">
        <v>44</v>
      </c>
    </row>
    <row r="825" spans="1:13" s="21" customFormat="1" ht="12">
      <c r="A825" s="434" t="s">
        <v>165</v>
      </c>
      <c r="B825" s="434"/>
      <c r="C825" s="434"/>
      <c r="D825" s="434"/>
      <c r="E825" s="434"/>
      <c r="F825" s="434"/>
      <c r="G825" s="434"/>
      <c r="H825" s="434"/>
      <c r="I825" s="434"/>
      <c r="J825" s="434"/>
      <c r="K825" s="434"/>
      <c r="L825" s="434"/>
      <c r="M825" s="434"/>
    </row>
    <row r="826" spans="1:13" ht="12">
      <c r="A826" s="70" t="str">
        <f>$A$42</f>
        <v>NAME: UNIVERSITY OF COLORADO AT COLORADO SPRINGS</v>
      </c>
      <c r="F826" s="106"/>
      <c r="G826" s="106"/>
      <c r="H826" s="106"/>
      <c r="I826" s="102"/>
      <c r="J826" s="103"/>
      <c r="L826" s="6"/>
      <c r="M826" s="72" t="str">
        <f>$M$3</f>
        <v>Date: 10/1/2007</v>
      </c>
    </row>
    <row r="827" spans="1:13" ht="12">
      <c r="A827" s="15" t="s">
        <v>1</v>
      </c>
      <c r="B827" s="15" t="s">
        <v>1</v>
      </c>
      <c r="C827" s="15" t="s">
        <v>1</v>
      </c>
      <c r="D827" s="15" t="s">
        <v>1</v>
      </c>
      <c r="E827" s="15" t="s">
        <v>1</v>
      </c>
      <c r="F827" s="15" t="s">
        <v>1</v>
      </c>
      <c r="G827" s="15"/>
      <c r="H827" s="15"/>
      <c r="I827" s="16" t="s">
        <v>1</v>
      </c>
      <c r="J827" s="19" t="s">
        <v>1</v>
      </c>
      <c r="K827" s="15" t="s">
        <v>1</v>
      </c>
      <c r="L827" s="16" t="s">
        <v>1</v>
      </c>
      <c r="M827" s="19" t="s">
        <v>1</v>
      </c>
    </row>
    <row r="828" spans="1:13" ht="12">
      <c r="A828" s="73" t="s">
        <v>2</v>
      </c>
      <c r="E828" s="73" t="s">
        <v>2</v>
      </c>
      <c r="F828" s="1"/>
      <c r="G828" s="2"/>
      <c r="H828" s="1" t="s">
        <v>172</v>
      </c>
      <c r="I828" s="2"/>
      <c r="J828" s="3" t="s">
        <v>280</v>
      </c>
      <c r="K828" s="1"/>
      <c r="L828" s="2"/>
      <c r="M828" s="3" t="s">
        <v>289</v>
      </c>
    </row>
    <row r="829" spans="1:13" ht="12">
      <c r="A829" s="73" t="s">
        <v>4</v>
      </c>
      <c r="C829" s="74" t="s">
        <v>20</v>
      </c>
      <c r="E829" s="73" t="s">
        <v>4</v>
      </c>
      <c r="F829" s="1"/>
      <c r="G829" s="2" t="s">
        <v>6</v>
      </c>
      <c r="H829" s="3" t="s">
        <v>7</v>
      </c>
      <c r="I829" s="2" t="s">
        <v>6</v>
      </c>
      <c r="J829" s="3" t="s">
        <v>7</v>
      </c>
      <c r="K829" s="1"/>
      <c r="L829" s="2" t="s">
        <v>6</v>
      </c>
      <c r="M829" s="3" t="s">
        <v>8</v>
      </c>
    </row>
    <row r="830" spans="1:13" ht="12">
      <c r="A830" s="15" t="s">
        <v>1</v>
      </c>
      <c r="B830" s="15" t="s">
        <v>1</v>
      </c>
      <c r="C830" s="15" t="s">
        <v>1</v>
      </c>
      <c r="D830" s="15" t="s">
        <v>1</v>
      </c>
      <c r="E830" s="15" t="s">
        <v>1</v>
      </c>
      <c r="F830" s="15" t="s">
        <v>1</v>
      </c>
      <c r="G830" s="15"/>
      <c r="H830" s="15"/>
      <c r="I830" s="16"/>
      <c r="J830" s="19"/>
      <c r="K830" s="15"/>
      <c r="L830" s="16"/>
      <c r="M830" s="19"/>
    </row>
    <row r="831" spans="1:13" ht="12">
      <c r="A831" s="41">
        <v>1</v>
      </c>
      <c r="C831" s="4" t="s">
        <v>36</v>
      </c>
      <c r="E831" s="41">
        <v>1</v>
      </c>
      <c r="F831" s="27"/>
      <c r="G831" s="57">
        <v>3.1</v>
      </c>
      <c r="H831" s="28">
        <v>288780</v>
      </c>
      <c r="I831" s="57">
        <v>6.75</v>
      </c>
      <c r="J831" s="28">
        <f>1163.41+409148.62</f>
        <v>410312.02999999997</v>
      </c>
      <c r="K831" s="42"/>
      <c r="L831" s="116">
        <f>I831</f>
        <v>6.75</v>
      </c>
      <c r="M831" s="28">
        <f>465916</f>
        <v>465916</v>
      </c>
    </row>
    <row r="832" spans="1:13" ht="12">
      <c r="A832" s="41">
        <v>2</v>
      </c>
      <c r="C832" s="4" t="s">
        <v>37</v>
      </c>
      <c r="E832" s="41">
        <v>2</v>
      </c>
      <c r="F832" s="27"/>
      <c r="G832" s="57"/>
      <c r="H832" s="28">
        <v>35688</v>
      </c>
      <c r="I832" s="57"/>
      <c r="J832" s="28">
        <f>60869.06+11990.93</f>
        <v>72859.98999999999</v>
      </c>
      <c r="K832" s="42"/>
      <c r="L832" s="116"/>
      <c r="M832" s="28">
        <v>86074</v>
      </c>
    </row>
    <row r="833" spans="1:13" ht="12">
      <c r="A833" s="41">
        <v>3</v>
      </c>
      <c r="E833" s="41">
        <v>3</v>
      </c>
      <c r="F833" s="27"/>
      <c r="G833" s="57"/>
      <c r="H833" s="28"/>
      <c r="I833" s="57"/>
      <c r="J833" s="28"/>
      <c r="K833" s="42"/>
      <c r="L833" s="116"/>
      <c r="M833" s="28"/>
    </row>
    <row r="834" spans="1:13" ht="12">
      <c r="A834" s="41">
        <v>4</v>
      </c>
      <c r="C834" s="4" t="s">
        <v>23</v>
      </c>
      <c r="E834" s="41">
        <v>4</v>
      </c>
      <c r="F834" s="27"/>
      <c r="G834" s="57">
        <f>SUM(G831:G833)</f>
        <v>3.1</v>
      </c>
      <c r="H834" s="28">
        <f>SUM(H831:H833)</f>
        <v>324468</v>
      </c>
      <c r="I834" s="57">
        <f>SUM(I831:I833)</f>
        <v>6.75</v>
      </c>
      <c r="J834" s="28">
        <f>SUM(J831:J833)</f>
        <v>483172.01999999996</v>
      </c>
      <c r="K834" s="43"/>
      <c r="L834" s="116">
        <f>SUM(L831:L833)</f>
        <v>6.75</v>
      </c>
      <c r="M834" s="28">
        <f>SUM(M831:M833)</f>
        <v>551990</v>
      </c>
    </row>
    <row r="835" spans="1:13" ht="10.5" customHeight="1">
      <c r="A835" s="41">
        <v>5</v>
      </c>
      <c r="E835" s="41">
        <v>5</v>
      </c>
      <c r="F835" s="27"/>
      <c r="G835" s="57"/>
      <c r="H835" s="28"/>
      <c r="I835" s="57"/>
      <c r="J835" s="28"/>
      <c r="K835" s="43"/>
      <c r="L835" s="116"/>
      <c r="M835" s="28"/>
    </row>
    <row r="836" spans="1:13" ht="12">
      <c r="A836" s="41">
        <v>6</v>
      </c>
      <c r="E836" s="41">
        <v>6</v>
      </c>
      <c r="F836" s="27"/>
      <c r="G836" s="57"/>
      <c r="H836" s="28"/>
      <c r="I836" s="57"/>
      <c r="J836" s="28"/>
      <c r="K836" s="43"/>
      <c r="L836" s="116"/>
      <c r="M836" s="28"/>
    </row>
    <row r="837" spans="1:13" ht="12">
      <c r="A837" s="41">
        <v>7</v>
      </c>
      <c r="C837" s="4" t="s">
        <v>25</v>
      </c>
      <c r="E837" s="41">
        <v>7</v>
      </c>
      <c r="F837" s="27"/>
      <c r="G837" s="57">
        <v>49.2</v>
      </c>
      <c r="H837" s="28">
        <v>1562111</v>
      </c>
      <c r="I837" s="57">
        <v>50.4</v>
      </c>
      <c r="J837" s="28">
        <v>1609759.72</v>
      </c>
      <c r="K837" s="42"/>
      <c r="L837" s="116">
        <f>I837</f>
        <v>50.4</v>
      </c>
      <c r="M837" s="28">
        <v>1760269</v>
      </c>
    </row>
    <row r="838" spans="1:13" ht="12">
      <c r="A838" s="41">
        <v>8</v>
      </c>
      <c r="C838" s="4" t="s">
        <v>26</v>
      </c>
      <c r="E838" s="41">
        <v>8</v>
      </c>
      <c r="F838" s="27"/>
      <c r="G838" s="57"/>
      <c r="H838" s="28">
        <v>304818</v>
      </c>
      <c r="I838" s="57"/>
      <c r="J838" s="28">
        <v>353967.78</v>
      </c>
      <c r="K838" s="42"/>
      <c r="L838" s="116"/>
      <c r="M838" s="28">
        <v>439515</v>
      </c>
    </row>
    <row r="839" spans="1:13" ht="12">
      <c r="A839" s="41">
        <v>9</v>
      </c>
      <c r="C839" s="4" t="s">
        <v>27</v>
      </c>
      <c r="E839" s="41">
        <v>9</v>
      </c>
      <c r="F839" s="27"/>
      <c r="G839" s="57">
        <f>SUM(G837:G838)</f>
        <v>49.2</v>
      </c>
      <c r="H839" s="28">
        <f>SUM(H837:H838)</f>
        <v>1866929</v>
      </c>
      <c r="I839" s="57">
        <f>SUM(I837:I838)</f>
        <v>50.4</v>
      </c>
      <c r="J839" s="28">
        <f>SUM(J837:J838)</f>
        <v>1963727.5</v>
      </c>
      <c r="K839" s="43"/>
      <c r="L839" s="116">
        <f>SUM(L837:L838)</f>
        <v>50.4</v>
      </c>
      <c r="M839" s="28">
        <f>SUM(M837:M838)</f>
        <v>2199784</v>
      </c>
    </row>
    <row r="840" spans="1:13" ht="12">
      <c r="A840" s="41">
        <v>10</v>
      </c>
      <c r="E840" s="41">
        <v>10</v>
      </c>
      <c r="F840" s="27"/>
      <c r="G840" s="57"/>
      <c r="H840" s="28"/>
      <c r="I840" s="57"/>
      <c r="J840" s="28"/>
      <c r="K840" s="43"/>
      <c r="L840" s="116"/>
      <c r="M840" s="28"/>
    </row>
    <row r="841" spans="1:13" ht="12">
      <c r="A841" s="41">
        <v>11</v>
      </c>
      <c r="C841" s="4" t="s">
        <v>28</v>
      </c>
      <c r="E841" s="41">
        <v>11</v>
      </c>
      <c r="G841" s="59">
        <f>SUM(G839,G834)</f>
        <v>52.300000000000004</v>
      </c>
      <c r="H841" s="44">
        <f>SUM(H839,H834)</f>
        <v>2191397</v>
      </c>
      <c r="I841" s="59">
        <f>SUM(I839,I834)</f>
        <v>57.15</v>
      </c>
      <c r="J841" s="44">
        <f>SUM(J839,J834)</f>
        <v>2446899.52</v>
      </c>
      <c r="K841" s="43"/>
      <c r="L841" s="117">
        <f>SUM(L839,L834)</f>
        <v>57.15</v>
      </c>
      <c r="M841" s="44">
        <f>SUM(M839,M834)</f>
        <v>2751774</v>
      </c>
    </row>
    <row r="842" spans="1:13" ht="10.5" customHeight="1">
      <c r="A842" s="41">
        <v>12</v>
      </c>
      <c r="E842" s="41">
        <v>12</v>
      </c>
      <c r="G842" s="59"/>
      <c r="H842" s="44"/>
      <c r="I842" s="59"/>
      <c r="J842" s="44"/>
      <c r="K842" s="43"/>
      <c r="L842" s="117"/>
      <c r="M842" s="44"/>
    </row>
    <row r="843" spans="1:13" ht="12">
      <c r="A843" s="41">
        <v>13</v>
      </c>
      <c r="C843" s="4" t="s">
        <v>38</v>
      </c>
      <c r="E843" s="41">
        <v>13</v>
      </c>
      <c r="F843" s="27"/>
      <c r="G843" s="57"/>
      <c r="H843" s="28">
        <v>53981</v>
      </c>
      <c r="I843" s="57"/>
      <c r="J843" s="28">
        <f>91109.41+594.71</f>
        <v>91704.12000000001</v>
      </c>
      <c r="K843" s="42"/>
      <c r="L843" s="116"/>
      <c r="M843" s="28">
        <f>50395+11192</f>
        <v>61587</v>
      </c>
    </row>
    <row r="844" spans="1:13" ht="12">
      <c r="A844" s="41">
        <v>14</v>
      </c>
      <c r="C844" s="4" t="s">
        <v>46</v>
      </c>
      <c r="E844" s="41">
        <v>14</v>
      </c>
      <c r="F844" s="27"/>
      <c r="G844" s="57"/>
      <c r="H844" s="28"/>
      <c r="I844" s="57"/>
      <c r="J844" s="28"/>
      <c r="K844" s="42"/>
      <c r="L844" s="116"/>
      <c r="M844" s="28"/>
    </row>
    <row r="845" spans="1:13" ht="12">
      <c r="A845" s="41">
        <v>15</v>
      </c>
      <c r="C845" s="4" t="s">
        <v>30</v>
      </c>
      <c r="E845" s="41">
        <v>15</v>
      </c>
      <c r="F845" s="27"/>
      <c r="G845" s="57"/>
      <c r="H845" s="28">
        <v>2815</v>
      </c>
      <c r="I845" s="57"/>
      <c r="J845" s="28">
        <v>1443.45</v>
      </c>
      <c r="K845" s="42"/>
      <c r="L845" s="116"/>
      <c r="M845" s="28">
        <v>5037</v>
      </c>
    </row>
    <row r="846" spans="1:13" ht="12">
      <c r="A846" s="41">
        <v>16</v>
      </c>
      <c r="C846" s="4" t="s">
        <v>45</v>
      </c>
      <c r="E846" s="41">
        <v>16</v>
      </c>
      <c r="F846" s="27"/>
      <c r="G846" s="57"/>
      <c r="H846" s="28">
        <v>1251844</v>
      </c>
      <c r="I846" s="57"/>
      <c r="J846" s="28">
        <v>1116806.12</v>
      </c>
      <c r="K846" s="42"/>
      <c r="L846" s="116"/>
      <c r="M846" s="28">
        <v>1554208</v>
      </c>
    </row>
    <row r="847" spans="1:13" ht="12">
      <c r="A847" s="41">
        <v>17</v>
      </c>
      <c r="C847" s="4" t="s">
        <v>31</v>
      </c>
      <c r="E847" s="41">
        <v>17</v>
      </c>
      <c r="F847" s="27"/>
      <c r="G847" s="57"/>
      <c r="H847" s="28">
        <v>1287350</v>
      </c>
      <c r="I847" s="57"/>
      <c r="J847" s="28">
        <f>26.91+1132024.02-57301.55+8626.65</f>
        <v>1083376.0299999998</v>
      </c>
      <c r="K847" s="42"/>
      <c r="L847" s="116"/>
      <c r="M847" s="28">
        <f>1318119-49230</f>
        <v>1268889</v>
      </c>
    </row>
    <row r="848" spans="1:13" ht="12">
      <c r="A848" s="41">
        <v>18</v>
      </c>
      <c r="C848" s="4" t="s">
        <v>32</v>
      </c>
      <c r="E848" s="41">
        <v>18</v>
      </c>
      <c r="F848" s="27"/>
      <c r="G848" s="57"/>
      <c r="H848" s="155">
        <v>0</v>
      </c>
      <c r="I848" s="57"/>
      <c r="J848" s="155">
        <v>0</v>
      </c>
      <c r="K848" s="42"/>
      <c r="L848" s="116"/>
      <c r="M848" s="28"/>
    </row>
    <row r="849" spans="1:13" ht="12">
      <c r="A849" s="41">
        <v>19</v>
      </c>
      <c r="C849" s="4" t="s">
        <v>42</v>
      </c>
      <c r="E849" s="41">
        <v>19</v>
      </c>
      <c r="F849" s="27"/>
      <c r="G849" s="57"/>
      <c r="H849" s="155">
        <v>0</v>
      </c>
      <c r="I849" s="57"/>
      <c r="J849" s="155">
        <v>0</v>
      </c>
      <c r="K849" s="42"/>
      <c r="L849" s="116"/>
      <c r="M849" s="28">
        <v>0</v>
      </c>
    </row>
    <row r="850" spans="1:13" ht="12">
      <c r="A850" s="41">
        <v>20</v>
      </c>
      <c r="C850" s="4"/>
      <c r="E850" s="41">
        <v>20</v>
      </c>
      <c r="F850" s="27"/>
      <c r="G850" s="58"/>
      <c r="H850" s="29"/>
      <c r="I850" s="58"/>
      <c r="J850" s="29"/>
      <c r="K850" s="27"/>
      <c r="L850" s="118"/>
      <c r="M850" s="29"/>
    </row>
    <row r="851" spans="1:13" ht="12">
      <c r="A851" s="41">
        <v>21</v>
      </c>
      <c r="C851" s="119" t="s">
        <v>276</v>
      </c>
      <c r="E851" s="41">
        <v>21</v>
      </c>
      <c r="G851" s="59">
        <f>SUM(G841:G850)</f>
        <v>52.300000000000004</v>
      </c>
      <c r="H851" s="44">
        <f>SUM(H841:H850)</f>
        <v>4787387</v>
      </c>
      <c r="I851" s="59">
        <f>SUM(I841:I850)</f>
        <v>57.15</v>
      </c>
      <c r="J851" s="44">
        <f>SUM(J841:J850)</f>
        <v>4740229.24</v>
      </c>
      <c r="K851" s="1"/>
      <c r="L851" s="117">
        <f>SUM(L841:L850)</f>
        <v>57.15</v>
      </c>
      <c r="M851" s="44">
        <f>SUM(M841:M850)</f>
        <v>5641495</v>
      </c>
    </row>
    <row r="852" spans="1:13" ht="12">
      <c r="A852" s="41">
        <v>22</v>
      </c>
      <c r="C852" s="4" t="s">
        <v>47</v>
      </c>
      <c r="E852" s="41">
        <v>22</v>
      </c>
      <c r="F852" s="27"/>
      <c r="G852" s="27"/>
      <c r="H852" s="42"/>
      <c r="I852" s="63"/>
      <c r="J852" s="42"/>
      <c r="K852" s="43"/>
      <c r="L852" s="63"/>
      <c r="M852" s="42"/>
    </row>
    <row r="853" spans="1:13" ht="12">
      <c r="A853" s="41">
        <v>23</v>
      </c>
      <c r="C853" s="4" t="s">
        <v>48</v>
      </c>
      <c r="E853" s="41">
        <v>23</v>
      </c>
      <c r="F853" s="27"/>
      <c r="G853" s="27"/>
      <c r="H853" s="32">
        <v>711402</v>
      </c>
      <c r="I853" s="32"/>
      <c r="J853" s="32">
        <v>738712</v>
      </c>
      <c r="K853" s="32"/>
      <c r="L853" s="32"/>
      <c r="M853" s="32">
        <f>J871</f>
        <v>813773.67</v>
      </c>
    </row>
    <row r="854" spans="1:13" ht="12">
      <c r="A854" s="41">
        <v>24</v>
      </c>
      <c r="C854" s="4" t="s">
        <v>49</v>
      </c>
      <c r="E854" s="41">
        <v>24</v>
      </c>
      <c r="F854" s="27"/>
      <c r="G854" s="27"/>
      <c r="H854" s="171"/>
      <c r="I854" s="32"/>
      <c r="J854" s="156"/>
      <c r="K854" s="32"/>
      <c r="L854" s="32"/>
      <c r="M854" s="32">
        <v>0</v>
      </c>
    </row>
    <row r="855" spans="1:13" ht="12">
      <c r="A855" s="41">
        <v>25</v>
      </c>
      <c r="C855" s="27" t="s">
        <v>331</v>
      </c>
      <c r="E855" s="41">
        <v>25</v>
      </c>
      <c r="F855" s="27"/>
      <c r="G855" s="27"/>
      <c r="H855" s="32"/>
      <c r="I855" s="32"/>
      <c r="J855" s="155"/>
      <c r="K855" s="32"/>
      <c r="L855" s="32"/>
      <c r="M855" s="155">
        <v>64784.48</v>
      </c>
    </row>
    <row r="856" spans="1:13" ht="12">
      <c r="A856" s="41">
        <v>26</v>
      </c>
      <c r="C856" s="27" t="s">
        <v>333</v>
      </c>
      <c r="E856" s="41">
        <v>26</v>
      </c>
      <c r="F856" s="27"/>
      <c r="G856" s="27"/>
      <c r="H856" s="32"/>
      <c r="I856" s="32"/>
      <c r="J856" s="155">
        <v>141242.41</v>
      </c>
      <c r="K856" s="32"/>
      <c r="L856" s="32"/>
      <c r="M856" s="32"/>
    </row>
    <row r="857" spans="1:13" ht="12">
      <c r="A857" s="41">
        <v>27</v>
      </c>
      <c r="C857" s="27" t="s">
        <v>332</v>
      </c>
      <c r="E857" s="41">
        <v>27</v>
      </c>
      <c r="F857" s="27"/>
      <c r="G857" s="27"/>
      <c r="H857" s="32"/>
      <c r="I857" s="32"/>
      <c r="J857" s="155">
        <v>2558.84</v>
      </c>
      <c r="K857" s="32"/>
      <c r="L857" s="32"/>
      <c r="M857" s="32"/>
    </row>
    <row r="858" spans="1:13" ht="12">
      <c r="A858" s="41">
        <v>28</v>
      </c>
      <c r="C858" s="27" t="s">
        <v>313</v>
      </c>
      <c r="E858" s="41">
        <v>28</v>
      </c>
      <c r="F858" s="27"/>
      <c r="G858" s="27"/>
      <c r="H858" s="32">
        <v>8247</v>
      </c>
      <c r="I858" s="32"/>
      <c r="J858" s="156">
        <v>0</v>
      </c>
      <c r="K858" s="32"/>
      <c r="L858" s="32"/>
      <c r="M858" s="32"/>
    </row>
    <row r="859" spans="1:13" ht="12">
      <c r="A859" s="41">
        <v>29</v>
      </c>
      <c r="C859" s="27" t="s">
        <v>336</v>
      </c>
      <c r="E859" s="41">
        <v>29</v>
      </c>
      <c r="F859" s="27"/>
      <c r="G859" s="27"/>
      <c r="H859" s="32">
        <v>13410</v>
      </c>
      <c r="I859" s="32"/>
      <c r="J859" s="156">
        <v>0</v>
      </c>
      <c r="K859" s="32"/>
      <c r="L859" s="32"/>
      <c r="M859" s="32"/>
    </row>
    <row r="860" spans="1:13" ht="12">
      <c r="A860" s="41">
        <v>30</v>
      </c>
      <c r="C860" s="27" t="s">
        <v>314</v>
      </c>
      <c r="E860" s="41">
        <v>30</v>
      </c>
      <c r="H860" s="33">
        <v>5653</v>
      </c>
      <c r="I860" s="32"/>
      <c r="J860" s="157">
        <v>0</v>
      </c>
      <c r="K860" s="32"/>
      <c r="L860" s="32"/>
      <c r="M860" s="33">
        <v>2653.03</v>
      </c>
    </row>
    <row r="861" spans="1:13" ht="12">
      <c r="A861" s="41">
        <v>31</v>
      </c>
      <c r="C861" s="27" t="s">
        <v>339</v>
      </c>
      <c r="E861" s="41">
        <v>31</v>
      </c>
      <c r="H861" s="33"/>
      <c r="I861" s="32"/>
      <c r="J861" s="157">
        <v>430.45</v>
      </c>
      <c r="K861" s="32"/>
      <c r="L861" s="32"/>
      <c r="M861" s="33">
        <v>2600</v>
      </c>
    </row>
    <row r="862" spans="1:13" ht="12">
      <c r="A862" s="41">
        <v>32</v>
      </c>
      <c r="C862" s="27" t="s">
        <v>337</v>
      </c>
      <c r="E862" s="41">
        <v>32</v>
      </c>
      <c r="H862" s="33"/>
      <c r="I862" s="32"/>
      <c r="J862" s="157"/>
      <c r="K862" s="32"/>
      <c r="L862" s="32"/>
      <c r="M862" s="33">
        <v>6000</v>
      </c>
    </row>
    <row r="863" spans="1:13" ht="12">
      <c r="A863" s="41">
        <v>33</v>
      </c>
      <c r="C863" s="4" t="s">
        <v>50</v>
      </c>
      <c r="E863" s="41">
        <v>33</v>
      </c>
      <c r="F863" s="27"/>
      <c r="G863" s="27"/>
      <c r="H863" s="156">
        <v>0</v>
      </c>
      <c r="I863" s="32"/>
      <c r="J863" s="156">
        <v>0</v>
      </c>
      <c r="K863" s="32"/>
      <c r="L863" s="32"/>
      <c r="M863" s="32">
        <v>0</v>
      </c>
    </row>
    <row r="864" spans="1:13" ht="12">
      <c r="A864" s="41">
        <v>34</v>
      </c>
      <c r="C864" s="4" t="s">
        <v>331</v>
      </c>
      <c r="E864" s="41">
        <v>34</v>
      </c>
      <c r="F864" s="27"/>
      <c r="G864" s="27"/>
      <c r="H864" s="156"/>
      <c r="I864" s="32"/>
      <c r="J864" s="155">
        <v>50715.94</v>
      </c>
      <c r="K864" s="32"/>
      <c r="L864" s="32"/>
      <c r="M864" s="32"/>
    </row>
    <row r="865" spans="1:13" ht="12">
      <c r="A865" s="41">
        <v>35</v>
      </c>
      <c r="C865" s="4" t="s">
        <v>338</v>
      </c>
      <c r="E865" s="41">
        <v>35</v>
      </c>
      <c r="F865" s="27"/>
      <c r="G865" s="27"/>
      <c r="H865" s="156"/>
      <c r="I865" s="32"/>
      <c r="J865" s="155">
        <v>2918</v>
      </c>
      <c r="K865" s="32"/>
      <c r="L865" s="32"/>
      <c r="M865" s="32"/>
    </row>
    <row r="866" spans="1:13" ht="12">
      <c r="A866" s="41">
        <v>36</v>
      </c>
      <c r="C866" s="27" t="s">
        <v>336</v>
      </c>
      <c r="E866" s="41">
        <v>36</v>
      </c>
      <c r="F866" s="27"/>
      <c r="G866" s="27"/>
      <c r="H866" s="156"/>
      <c r="I866" s="32"/>
      <c r="J866" s="155">
        <v>13410</v>
      </c>
      <c r="K866" s="32"/>
      <c r="L866" s="32"/>
      <c r="M866" s="32"/>
    </row>
    <row r="867" spans="1:13" ht="12">
      <c r="A867" s="41">
        <v>37</v>
      </c>
      <c r="C867" s="27" t="s">
        <v>335</v>
      </c>
      <c r="E867" s="41">
        <v>37</v>
      </c>
      <c r="F867" s="27"/>
      <c r="G867" s="27"/>
      <c r="H867" s="156">
        <v>0</v>
      </c>
      <c r="I867" s="32"/>
      <c r="J867" s="155">
        <v>316.56</v>
      </c>
      <c r="K867" s="32"/>
      <c r="L867" s="32"/>
      <c r="M867" s="32"/>
    </row>
    <row r="868" spans="1:13" ht="12">
      <c r="A868" s="41">
        <v>38</v>
      </c>
      <c r="C868" s="27" t="s">
        <v>334</v>
      </c>
      <c r="E868" s="41">
        <v>38</v>
      </c>
      <c r="F868" s="27"/>
      <c r="G868" s="27"/>
      <c r="H868" s="156">
        <v>0</v>
      </c>
      <c r="I868" s="32"/>
      <c r="J868" s="155">
        <v>1379.08</v>
      </c>
      <c r="K868" s="32"/>
      <c r="L868" s="32"/>
      <c r="M868" s="32"/>
    </row>
    <row r="869" spans="1:13" ht="12">
      <c r="A869" s="41">
        <v>39</v>
      </c>
      <c r="C869" s="27" t="s">
        <v>315</v>
      </c>
      <c r="E869" s="41">
        <v>39</v>
      </c>
      <c r="F869" s="27"/>
      <c r="G869" s="27"/>
      <c r="H869" s="156">
        <v>0</v>
      </c>
      <c r="I869" s="32"/>
      <c r="J869" s="155">
        <v>534.48</v>
      </c>
      <c r="K869" s="32"/>
      <c r="L869" s="32"/>
      <c r="M869" s="32"/>
    </row>
    <row r="870" spans="1:13" ht="12">
      <c r="A870" s="41">
        <v>40</v>
      </c>
      <c r="C870" s="27" t="s">
        <v>314</v>
      </c>
      <c r="E870" s="41">
        <v>40</v>
      </c>
      <c r="F870" s="27"/>
      <c r="G870" s="27"/>
      <c r="H870" s="156">
        <v>0</v>
      </c>
      <c r="I870" s="32"/>
      <c r="J870" s="155">
        <v>2653.03</v>
      </c>
      <c r="K870" s="32"/>
      <c r="L870" s="32"/>
      <c r="M870" s="32"/>
    </row>
    <row r="871" spans="1:13" ht="12">
      <c r="A871" s="41">
        <v>41</v>
      </c>
      <c r="C871" s="4" t="s">
        <v>51</v>
      </c>
      <c r="E871" s="41">
        <v>41</v>
      </c>
      <c r="H871" s="33">
        <f>(SUM(H853:H860))-(SUM(H863:H868))</f>
        <v>738712</v>
      </c>
      <c r="I871" s="34"/>
      <c r="J871" s="154">
        <f>(SUM(J853:J860))-(SUM(J863:J868))</f>
        <v>813773.67</v>
      </c>
      <c r="K871" s="34"/>
      <c r="L871" s="34"/>
      <c r="M871" s="33">
        <f>(SUM(M853:M860))-(SUM(M863:M868))</f>
        <v>881211.18</v>
      </c>
    </row>
    <row r="872" spans="1:13" ht="12">
      <c r="A872" s="41">
        <v>42</v>
      </c>
      <c r="C872" s="4" t="s">
        <v>52</v>
      </c>
      <c r="E872" s="41">
        <v>42</v>
      </c>
      <c r="F872" s="27"/>
      <c r="G872" s="27"/>
      <c r="H872" s="32">
        <v>148</v>
      </c>
      <c r="I872" s="32"/>
      <c r="J872" s="156">
        <v>160</v>
      </c>
      <c r="K872" s="32"/>
      <c r="L872" s="32"/>
      <c r="M872" s="32">
        <f>J872+1.33+0.76+4+1.78+10.86</f>
        <v>178.73000000000002</v>
      </c>
    </row>
    <row r="873" spans="8:13" ht="12">
      <c r="H873" s="33"/>
      <c r="I873" s="34"/>
      <c r="J873" s="33"/>
      <c r="K873" s="34"/>
      <c r="L873" s="34"/>
      <c r="M873" s="34"/>
    </row>
    <row r="874" ht="12">
      <c r="A874" s="4"/>
    </row>
    <row r="875" spans="1:13" s="21" customFormat="1" ht="12">
      <c r="A875" s="70" t="str">
        <f>$A$82</f>
        <v>Institution No.:  GFC</v>
      </c>
      <c r="E875" s="20"/>
      <c r="I875" s="22"/>
      <c r="J875" s="23"/>
      <c r="L875" s="22"/>
      <c r="M875" s="69" t="s">
        <v>53</v>
      </c>
    </row>
    <row r="876" spans="1:13" s="21" customFormat="1" ht="12">
      <c r="A876" s="434" t="s">
        <v>166</v>
      </c>
      <c r="B876" s="434"/>
      <c r="C876" s="434"/>
      <c r="D876" s="434"/>
      <c r="E876" s="434"/>
      <c r="F876" s="434"/>
      <c r="G876" s="434"/>
      <c r="H876" s="434"/>
      <c r="I876" s="434"/>
      <c r="J876" s="434"/>
      <c r="K876" s="434"/>
      <c r="L876" s="434"/>
      <c r="M876" s="434"/>
    </row>
    <row r="877" spans="1:13" ht="12">
      <c r="A877" s="70" t="str">
        <f>$A$42</f>
        <v>NAME: UNIVERSITY OF COLORADO AT COLORADO SPRINGS</v>
      </c>
      <c r="F877" s="106"/>
      <c r="G877" s="106"/>
      <c r="H877" s="106"/>
      <c r="I877" s="102"/>
      <c r="J877" s="103"/>
      <c r="L877" s="6"/>
      <c r="M877" s="72" t="str">
        <f>$M$3</f>
        <v>Date: 10/1/2007</v>
      </c>
    </row>
    <row r="878" spans="1:13" ht="12">
      <c r="A878" s="15" t="s">
        <v>1</v>
      </c>
      <c r="B878" s="15" t="s">
        <v>1</v>
      </c>
      <c r="C878" s="15" t="s">
        <v>1</v>
      </c>
      <c r="D878" s="15" t="s">
        <v>1</v>
      </c>
      <c r="E878" s="15" t="s">
        <v>1</v>
      </c>
      <c r="F878" s="15" t="s">
        <v>1</v>
      </c>
      <c r="G878" s="15"/>
      <c r="H878" s="15"/>
      <c r="I878" s="16" t="s">
        <v>1</v>
      </c>
      <c r="J878" s="19" t="s">
        <v>1</v>
      </c>
      <c r="K878" s="15" t="s">
        <v>1</v>
      </c>
      <c r="L878" s="16" t="s">
        <v>1</v>
      </c>
      <c r="M878" s="19" t="s">
        <v>1</v>
      </c>
    </row>
    <row r="879" spans="1:13" ht="12">
      <c r="A879" s="73" t="s">
        <v>2</v>
      </c>
      <c r="E879" s="73" t="s">
        <v>2</v>
      </c>
      <c r="H879" s="1" t="s">
        <v>172</v>
      </c>
      <c r="I879" s="2"/>
      <c r="J879" s="3" t="s">
        <v>280</v>
      </c>
      <c r="K879" s="1"/>
      <c r="L879" s="2"/>
      <c r="M879" s="3" t="s">
        <v>289</v>
      </c>
    </row>
    <row r="880" spans="1:13" ht="12">
      <c r="A880" s="73" t="s">
        <v>4</v>
      </c>
      <c r="C880" s="74" t="s">
        <v>20</v>
      </c>
      <c r="E880" s="73" t="s">
        <v>4</v>
      </c>
      <c r="H880" s="3" t="s">
        <v>7</v>
      </c>
      <c r="I880" s="6"/>
      <c r="J880" s="3" t="s">
        <v>7</v>
      </c>
      <c r="L880" s="6"/>
      <c r="M880" s="3" t="s">
        <v>8</v>
      </c>
    </row>
    <row r="881" spans="1:13" ht="12">
      <c r="A881" s="15" t="s">
        <v>1</v>
      </c>
      <c r="B881" s="15" t="s">
        <v>1</v>
      </c>
      <c r="C881" s="15" t="s">
        <v>1</v>
      </c>
      <c r="D881" s="15" t="s">
        <v>1</v>
      </c>
      <c r="E881" s="15" t="s">
        <v>1</v>
      </c>
      <c r="F881" s="15" t="s">
        <v>1</v>
      </c>
      <c r="G881" s="15"/>
      <c r="H881" s="15"/>
      <c r="I881" s="16" t="s">
        <v>1</v>
      </c>
      <c r="J881" s="19" t="s">
        <v>1</v>
      </c>
      <c r="K881" s="15" t="s">
        <v>1</v>
      </c>
      <c r="L881" s="16" t="s">
        <v>1</v>
      </c>
      <c r="M881" s="19" t="s">
        <v>1</v>
      </c>
    </row>
    <row r="882" spans="1:13" ht="12">
      <c r="A882" s="41">
        <v>1</v>
      </c>
      <c r="C882" s="4" t="s">
        <v>54</v>
      </c>
      <c r="E882" s="41">
        <v>1</v>
      </c>
      <c r="F882" s="27"/>
      <c r="G882" s="27"/>
      <c r="H882" s="28">
        <v>2943211</v>
      </c>
      <c r="I882" s="28"/>
      <c r="J882" s="28">
        <f>9866488+1502175-8687494+469855</f>
        <v>3151024</v>
      </c>
      <c r="K882" s="28"/>
      <c r="L882" s="28"/>
      <c r="M882" s="28">
        <v>3174854</v>
      </c>
    </row>
    <row r="883" spans="1:13" ht="12">
      <c r="A883" s="41">
        <f aca="true" t="shared" si="17" ref="A883:A900">(A882+1)</f>
        <v>2</v>
      </c>
      <c r="C883" s="27"/>
      <c r="E883" s="41">
        <f aca="true" t="shared" si="18" ref="E883:E900">(E882+1)</f>
        <v>2</v>
      </c>
      <c r="F883" s="27"/>
      <c r="G883" s="27"/>
      <c r="H883" s="27"/>
      <c r="I883" s="39"/>
      <c r="J883" s="40"/>
      <c r="K883" s="27"/>
      <c r="L883" s="39"/>
      <c r="M883" s="40"/>
    </row>
    <row r="884" spans="1:13" ht="12">
      <c r="A884" s="41">
        <f t="shared" si="17"/>
        <v>3</v>
      </c>
      <c r="C884" s="27"/>
      <c r="E884" s="41">
        <f t="shared" si="18"/>
        <v>3</v>
      </c>
      <c r="F884" s="27"/>
      <c r="G884" s="27"/>
      <c r="H884" s="27"/>
      <c r="I884" s="39"/>
      <c r="J884" s="40"/>
      <c r="K884" s="27"/>
      <c r="L884" s="39"/>
      <c r="M884" s="40"/>
    </row>
    <row r="885" spans="1:13" ht="12">
      <c r="A885" s="41">
        <f t="shared" si="17"/>
        <v>4</v>
      </c>
      <c r="C885" s="27"/>
      <c r="E885" s="41">
        <f t="shared" si="18"/>
        <v>4</v>
      </c>
      <c r="F885" s="27"/>
      <c r="G885" s="27"/>
      <c r="H885" s="27"/>
      <c r="I885" s="39"/>
      <c r="J885" s="40"/>
      <c r="K885" s="27"/>
      <c r="L885" s="39"/>
      <c r="M885" s="40"/>
    </row>
    <row r="886" spans="1:13" ht="12">
      <c r="A886" s="41">
        <f t="shared" si="17"/>
        <v>5</v>
      </c>
      <c r="C886" s="27"/>
      <c r="E886" s="41">
        <f t="shared" si="18"/>
        <v>5</v>
      </c>
      <c r="F886" s="27"/>
      <c r="G886" s="27"/>
      <c r="H886" s="27"/>
      <c r="I886" s="39"/>
      <c r="J886" s="40"/>
      <c r="K886" s="27"/>
      <c r="L886" s="39"/>
      <c r="M886" s="40"/>
    </row>
    <row r="887" spans="1:13" ht="12">
      <c r="A887" s="41">
        <f t="shared" si="17"/>
        <v>6</v>
      </c>
      <c r="C887" s="27"/>
      <c r="E887" s="41">
        <f t="shared" si="18"/>
        <v>6</v>
      </c>
      <c r="F887" s="27"/>
      <c r="G887" s="27"/>
      <c r="H887" s="27"/>
      <c r="I887" s="39"/>
      <c r="J887" s="40"/>
      <c r="K887" s="27"/>
      <c r="L887" s="39"/>
      <c r="M887" s="40"/>
    </row>
    <row r="888" spans="1:13" ht="12">
      <c r="A888" s="41">
        <f t="shared" si="17"/>
        <v>7</v>
      </c>
      <c r="C888" s="27"/>
      <c r="E888" s="41">
        <f t="shared" si="18"/>
        <v>7</v>
      </c>
      <c r="F888" s="27"/>
      <c r="G888" s="27"/>
      <c r="H888" s="27"/>
      <c r="I888" s="39"/>
      <c r="J888" s="40"/>
      <c r="K888" s="27"/>
      <c r="L888" s="39"/>
      <c r="M888" s="40"/>
    </row>
    <row r="889" spans="1:13" ht="12">
      <c r="A889" s="41">
        <f t="shared" si="17"/>
        <v>8</v>
      </c>
      <c r="C889" s="27"/>
      <c r="E889" s="41">
        <f t="shared" si="18"/>
        <v>8</v>
      </c>
      <c r="F889" s="27"/>
      <c r="G889" s="27"/>
      <c r="H889" s="27"/>
      <c r="I889" s="39"/>
      <c r="J889" s="40"/>
      <c r="K889" s="27"/>
      <c r="L889" s="39"/>
      <c r="M889" s="40"/>
    </row>
    <row r="890" spans="1:13" ht="12">
      <c r="A890" s="41">
        <f t="shared" si="17"/>
        <v>9</v>
      </c>
      <c r="C890" s="27"/>
      <c r="E890" s="41">
        <f t="shared" si="18"/>
        <v>9</v>
      </c>
      <c r="F890" s="27"/>
      <c r="G890" s="27"/>
      <c r="H890" s="27"/>
      <c r="I890" s="39"/>
      <c r="J890" s="40"/>
      <c r="K890" s="27"/>
      <c r="L890" s="39"/>
      <c r="M890" s="40"/>
    </row>
    <row r="891" spans="1:13" ht="12">
      <c r="A891" s="41">
        <f t="shared" si="17"/>
        <v>10</v>
      </c>
      <c r="C891" s="27"/>
      <c r="E891" s="41">
        <f t="shared" si="18"/>
        <v>10</v>
      </c>
      <c r="F891" s="27"/>
      <c r="G891" s="27"/>
      <c r="H891" s="27"/>
      <c r="I891" s="39"/>
      <c r="J891" s="40"/>
      <c r="K891" s="27"/>
      <c r="L891" s="39"/>
      <c r="M891" s="40"/>
    </row>
    <row r="892" spans="1:13" ht="12">
      <c r="A892" s="41">
        <f t="shared" si="17"/>
        <v>11</v>
      </c>
      <c r="C892" s="27"/>
      <c r="E892" s="41">
        <f t="shared" si="18"/>
        <v>11</v>
      </c>
      <c r="I892" s="39"/>
      <c r="J892" s="40"/>
      <c r="K892" s="27"/>
      <c r="L892" s="39"/>
      <c r="M892" s="40"/>
    </row>
    <row r="893" spans="1:13" ht="12">
      <c r="A893" s="41">
        <f t="shared" si="17"/>
        <v>12</v>
      </c>
      <c r="C893" s="27"/>
      <c r="E893" s="41">
        <f t="shared" si="18"/>
        <v>12</v>
      </c>
      <c r="I893" s="39"/>
      <c r="J893" s="40"/>
      <c r="K893" s="27"/>
      <c r="L893" s="39"/>
      <c r="M893" s="40"/>
    </row>
    <row r="894" spans="1:13" ht="12">
      <c r="A894" s="41">
        <f t="shared" si="17"/>
        <v>13</v>
      </c>
      <c r="C894" s="27"/>
      <c r="E894" s="41">
        <f t="shared" si="18"/>
        <v>13</v>
      </c>
      <c r="F894" s="27"/>
      <c r="G894" s="27"/>
      <c r="H894" s="27"/>
      <c r="I894" s="39"/>
      <c r="J894" s="40"/>
      <c r="K894" s="27"/>
      <c r="L894" s="39"/>
      <c r="M894" s="40"/>
    </row>
    <row r="895" spans="1:13" ht="12">
      <c r="A895" s="41">
        <f t="shared" si="17"/>
        <v>14</v>
      </c>
      <c r="C895" s="27"/>
      <c r="E895" s="41">
        <f t="shared" si="18"/>
        <v>14</v>
      </c>
      <c r="F895" s="27"/>
      <c r="G895" s="27"/>
      <c r="H895" s="27"/>
      <c r="I895" s="39"/>
      <c r="J895" s="40"/>
      <c r="K895" s="27"/>
      <c r="L895" s="39"/>
      <c r="M895" s="40"/>
    </row>
    <row r="896" spans="1:13" ht="12">
      <c r="A896" s="41">
        <f t="shared" si="17"/>
        <v>15</v>
      </c>
      <c r="C896" s="27"/>
      <c r="E896" s="41">
        <f t="shared" si="18"/>
        <v>15</v>
      </c>
      <c r="F896" s="27"/>
      <c r="G896" s="27"/>
      <c r="H896" s="27"/>
      <c r="I896" s="39"/>
      <c r="J896" s="40"/>
      <c r="K896" s="27"/>
      <c r="L896" s="39"/>
      <c r="M896" s="40"/>
    </row>
    <row r="897" spans="1:13" ht="12">
      <c r="A897" s="41">
        <f t="shared" si="17"/>
        <v>16</v>
      </c>
      <c r="C897" s="27"/>
      <c r="E897" s="41">
        <f t="shared" si="18"/>
        <v>16</v>
      </c>
      <c r="F897" s="27"/>
      <c r="G897" s="27"/>
      <c r="H897" s="27"/>
      <c r="I897" s="39"/>
      <c r="J897" s="40"/>
      <c r="K897" s="27"/>
      <c r="L897" s="39"/>
      <c r="M897" s="40"/>
    </row>
    <row r="898" spans="1:13" ht="12">
      <c r="A898" s="41">
        <f t="shared" si="17"/>
        <v>17</v>
      </c>
      <c r="C898" s="27"/>
      <c r="E898" s="41">
        <f t="shared" si="18"/>
        <v>17</v>
      </c>
      <c r="F898" s="27"/>
      <c r="G898" s="27"/>
      <c r="H898" s="27"/>
      <c r="I898" s="39"/>
      <c r="J898" s="40"/>
      <c r="K898" s="27"/>
      <c r="L898" s="39"/>
      <c r="M898" s="40"/>
    </row>
    <row r="899" spans="1:13" ht="12">
      <c r="A899" s="41">
        <f t="shared" si="17"/>
        <v>18</v>
      </c>
      <c r="C899" s="27"/>
      <c r="E899" s="41">
        <f t="shared" si="18"/>
        <v>18</v>
      </c>
      <c r="F899" s="27"/>
      <c r="G899" s="27"/>
      <c r="H899" s="27"/>
      <c r="I899" s="39"/>
      <c r="J899" s="40"/>
      <c r="K899" s="27"/>
      <c r="L899" s="39"/>
      <c r="M899" s="40"/>
    </row>
    <row r="900" spans="1:13" ht="12">
      <c r="A900" s="41">
        <f t="shared" si="17"/>
        <v>19</v>
      </c>
      <c r="C900" s="27"/>
      <c r="E900" s="41">
        <f t="shared" si="18"/>
        <v>19</v>
      </c>
      <c r="F900" s="27"/>
      <c r="G900" s="27"/>
      <c r="H900" s="27"/>
      <c r="I900" s="39"/>
      <c r="J900" s="40"/>
      <c r="K900" s="27"/>
      <c r="L900" s="39"/>
      <c r="M900" s="40"/>
    </row>
    <row r="901" spans="1:13" ht="12">
      <c r="A901" s="41">
        <v>20</v>
      </c>
      <c r="E901" s="41">
        <v>20</v>
      </c>
      <c r="F901" s="24"/>
      <c r="G901" s="24"/>
      <c r="H901" s="24"/>
      <c r="I901" s="16"/>
      <c r="J901" s="19"/>
      <c r="K901" s="24"/>
      <c r="L901" s="16"/>
      <c r="M901" s="19"/>
    </row>
    <row r="902" spans="1:13" ht="12">
      <c r="A902" s="41">
        <v>21</v>
      </c>
      <c r="E902" s="41">
        <v>21</v>
      </c>
      <c r="F902" s="24"/>
      <c r="G902" s="24"/>
      <c r="H902" s="24"/>
      <c r="I902" s="16"/>
      <c r="J902" s="25"/>
      <c r="K902" s="24"/>
      <c r="L902" s="16"/>
      <c r="M902" s="25"/>
    </row>
    <row r="903" spans="1:13" ht="12">
      <c r="A903" s="41">
        <v>22</v>
      </c>
      <c r="E903" s="41">
        <v>22</v>
      </c>
      <c r="I903" s="6"/>
      <c r="J903" s="25"/>
      <c r="L903" s="6"/>
      <c r="M903" s="25"/>
    </row>
    <row r="904" spans="1:13" ht="12">
      <c r="A904" s="41">
        <v>23</v>
      </c>
      <c r="D904" s="47"/>
      <c r="E904" s="41">
        <v>23</v>
      </c>
      <c r="J904" s="25"/>
      <c r="M904" s="25"/>
    </row>
    <row r="905" spans="1:13" ht="12">
      <c r="A905" s="41">
        <v>24</v>
      </c>
      <c r="D905" s="47"/>
      <c r="E905" s="41">
        <v>24</v>
      </c>
      <c r="J905" s="25"/>
      <c r="M905" s="25"/>
    </row>
    <row r="906" spans="6:13" ht="9.75" customHeight="1">
      <c r="F906" s="24" t="s">
        <v>1</v>
      </c>
      <c r="G906" s="24"/>
      <c r="H906" s="24"/>
      <c r="I906" s="16" t="s">
        <v>1</v>
      </c>
      <c r="J906" s="19"/>
      <c r="K906" s="24"/>
      <c r="L906" s="16"/>
      <c r="M906" s="19"/>
    </row>
    <row r="907" spans="1:13" ht="16.5" customHeight="1">
      <c r="A907" s="41">
        <v>25</v>
      </c>
      <c r="C907" s="4" t="s">
        <v>273</v>
      </c>
      <c r="E907" s="41">
        <v>25</v>
      </c>
      <c r="H907" s="44">
        <f>SUM(H882:H905)</f>
        <v>2943211</v>
      </c>
      <c r="I907" s="49"/>
      <c r="J907" s="44">
        <f>SUM(J882:J905)</f>
        <v>3151024</v>
      </c>
      <c r="K907" s="44"/>
      <c r="L907" s="49"/>
      <c r="M907" s="44">
        <f>SUM(M882:M905)</f>
        <v>3174854</v>
      </c>
    </row>
    <row r="908" spans="4:13" ht="12">
      <c r="D908" s="47"/>
      <c r="F908" s="24" t="s">
        <v>1</v>
      </c>
      <c r="G908" s="24"/>
      <c r="H908" s="24"/>
      <c r="I908" s="16" t="s">
        <v>1</v>
      </c>
      <c r="J908" s="19"/>
      <c r="K908" s="24"/>
      <c r="L908" s="16"/>
      <c r="M908" s="19"/>
    </row>
    <row r="909" spans="6:13" ht="12">
      <c r="F909" s="24"/>
      <c r="G909" s="24"/>
      <c r="H909" s="24"/>
      <c r="I909" s="16"/>
      <c r="J909" s="19"/>
      <c r="K909" s="24"/>
      <c r="L909" s="16"/>
      <c r="M909" s="19"/>
    </row>
    <row r="910" spans="9:13" ht="12">
      <c r="I910" s="6"/>
      <c r="J910" s="25"/>
      <c r="L910" s="6"/>
      <c r="M910" s="25"/>
    </row>
    <row r="911" spans="1:13" ht="12">
      <c r="A911" s="5">
        <v>26</v>
      </c>
      <c r="C911" s="5" t="s">
        <v>171</v>
      </c>
      <c r="E911" s="5">
        <v>26</v>
      </c>
      <c r="H911" s="17">
        <v>10191841</v>
      </c>
      <c r="I911" s="6"/>
      <c r="J911" s="25">
        <f>J416</f>
        <v>11368663</v>
      </c>
      <c r="L911" s="6"/>
      <c r="M911" s="25">
        <f>M416</f>
        <v>11596036.26</v>
      </c>
    </row>
    <row r="912" ht="12">
      <c r="A912" s="4"/>
    </row>
    <row r="914" spans="1:13" s="21" customFormat="1" ht="12">
      <c r="A914" s="70" t="str">
        <f>$A$82</f>
        <v>Institution No.:  GFC</v>
      </c>
      <c r="E914" s="20"/>
      <c r="I914" s="22"/>
      <c r="J914" s="23"/>
      <c r="L914" s="22"/>
      <c r="M914" s="69" t="s">
        <v>55</v>
      </c>
    </row>
    <row r="915" spans="1:13" s="21" customFormat="1" ht="12">
      <c r="A915" s="434" t="s">
        <v>167</v>
      </c>
      <c r="B915" s="434"/>
      <c r="C915" s="434"/>
      <c r="D915" s="434"/>
      <c r="E915" s="434"/>
      <c r="F915" s="434"/>
      <c r="G915" s="434"/>
      <c r="H915" s="434"/>
      <c r="I915" s="434"/>
      <c r="J915" s="434"/>
      <c r="K915" s="434"/>
      <c r="L915" s="434"/>
      <c r="M915" s="434"/>
    </row>
    <row r="916" spans="1:13" ht="12">
      <c r="A916" s="70" t="str">
        <f>$A$42</f>
        <v>NAME: UNIVERSITY OF COLORADO AT COLORADO SPRINGS</v>
      </c>
      <c r="I916" s="120"/>
      <c r="J916" s="25"/>
      <c r="L916" s="6"/>
      <c r="M916" s="72" t="str">
        <f>$M$3</f>
        <v>Date: 10/1/2007</v>
      </c>
    </row>
    <row r="917" spans="1:13" ht="12">
      <c r="A917" s="15" t="s">
        <v>1</v>
      </c>
      <c r="B917" s="15" t="s">
        <v>1</v>
      </c>
      <c r="C917" s="15" t="s">
        <v>1</v>
      </c>
      <c r="D917" s="15" t="s">
        <v>1</v>
      </c>
      <c r="E917" s="15" t="s">
        <v>1</v>
      </c>
      <c r="F917" s="15" t="s">
        <v>1</v>
      </c>
      <c r="G917" s="15"/>
      <c r="H917" s="15"/>
      <c r="I917" s="16" t="s">
        <v>1</v>
      </c>
      <c r="J917" s="19" t="s">
        <v>1</v>
      </c>
      <c r="K917" s="15" t="s">
        <v>1</v>
      </c>
      <c r="L917" s="16" t="s">
        <v>1</v>
      </c>
      <c r="M917" s="19" t="s">
        <v>1</v>
      </c>
    </row>
    <row r="918" spans="1:13" ht="12">
      <c r="A918" s="73" t="s">
        <v>2</v>
      </c>
      <c r="E918" s="73" t="s">
        <v>2</v>
      </c>
      <c r="F918" s="1"/>
      <c r="G918" s="2"/>
      <c r="H918" s="1" t="s">
        <v>172</v>
      </c>
      <c r="I918" s="2"/>
      <c r="J918" s="3" t="s">
        <v>280</v>
      </c>
      <c r="K918" s="1"/>
      <c r="L918" s="2"/>
      <c r="M918" s="3" t="s">
        <v>289</v>
      </c>
    </row>
    <row r="919" spans="1:13" ht="12">
      <c r="A919" s="73" t="s">
        <v>4</v>
      </c>
      <c r="C919" s="74" t="s">
        <v>20</v>
      </c>
      <c r="E919" s="73" t="s">
        <v>4</v>
      </c>
      <c r="F919" s="1"/>
      <c r="G919" s="2" t="s">
        <v>21</v>
      </c>
      <c r="H919" s="3" t="s">
        <v>7</v>
      </c>
      <c r="I919" s="2" t="s">
        <v>21</v>
      </c>
      <c r="J919" s="3" t="s">
        <v>7</v>
      </c>
      <c r="K919" s="1"/>
      <c r="L919" s="2" t="s">
        <v>21</v>
      </c>
      <c r="M919" s="3" t="s">
        <v>8</v>
      </c>
    </row>
    <row r="920" spans="1:13" ht="12">
      <c r="A920" s="15" t="s">
        <v>1</v>
      </c>
      <c r="B920" s="15" t="s">
        <v>1</v>
      </c>
      <c r="C920" s="15" t="s">
        <v>1</v>
      </c>
      <c r="D920" s="15" t="s">
        <v>1</v>
      </c>
      <c r="E920" s="15" t="s">
        <v>1</v>
      </c>
      <c r="F920" s="15" t="s">
        <v>1</v>
      </c>
      <c r="G920" s="15"/>
      <c r="H920" s="15"/>
      <c r="I920" s="16" t="s">
        <v>1</v>
      </c>
      <c r="J920" s="19" t="s">
        <v>1</v>
      </c>
      <c r="K920" s="15" t="s">
        <v>1</v>
      </c>
      <c r="L920" s="16" t="s">
        <v>1</v>
      </c>
      <c r="M920" s="19" t="s">
        <v>1</v>
      </c>
    </row>
    <row r="921" spans="1:13" ht="12">
      <c r="A921" s="41">
        <v>1</v>
      </c>
      <c r="C921" s="4" t="s">
        <v>36</v>
      </c>
      <c r="E921" s="41">
        <v>1</v>
      </c>
      <c r="F921" s="27"/>
      <c r="G921" s="45">
        <v>0</v>
      </c>
      <c r="H921" s="28">
        <v>0</v>
      </c>
      <c r="I921" s="45">
        <v>0</v>
      </c>
      <c r="J921" s="28">
        <v>0</v>
      </c>
      <c r="K921" s="42"/>
      <c r="L921" s="45">
        <v>0</v>
      </c>
      <c r="M921" s="28">
        <v>0</v>
      </c>
    </row>
    <row r="922" spans="1:13" ht="12">
      <c r="A922" s="41">
        <v>2</v>
      </c>
      <c r="C922" s="4" t="s">
        <v>37</v>
      </c>
      <c r="E922" s="41">
        <v>2</v>
      </c>
      <c r="F922" s="27"/>
      <c r="G922" s="45"/>
      <c r="H922" s="28">
        <v>0</v>
      </c>
      <c r="I922" s="45"/>
      <c r="J922" s="28">
        <v>0</v>
      </c>
      <c r="K922" s="42"/>
      <c r="L922" s="45"/>
      <c r="M922" s="28">
        <v>0</v>
      </c>
    </row>
    <row r="923" spans="1:13" ht="12">
      <c r="A923" s="41">
        <v>3</v>
      </c>
      <c r="E923" s="41">
        <v>3</v>
      </c>
      <c r="F923" s="27"/>
      <c r="G923" s="45"/>
      <c r="H923" s="28"/>
      <c r="I923" s="45"/>
      <c r="J923" s="28"/>
      <c r="K923" s="42"/>
      <c r="L923" s="45"/>
      <c r="M923" s="28"/>
    </row>
    <row r="924" spans="1:13" ht="12">
      <c r="A924" s="41">
        <v>4</v>
      </c>
      <c r="C924" s="4" t="s">
        <v>23</v>
      </c>
      <c r="E924" s="41">
        <v>4</v>
      </c>
      <c r="F924" s="27"/>
      <c r="G924" s="45">
        <v>0</v>
      </c>
      <c r="H924" s="28">
        <f>SUM(H921:H923)</f>
        <v>0</v>
      </c>
      <c r="I924" s="45">
        <v>0</v>
      </c>
      <c r="J924" s="28">
        <f>SUM(J921:J923)</f>
        <v>0</v>
      </c>
      <c r="K924" s="43"/>
      <c r="L924" s="45">
        <v>0</v>
      </c>
      <c r="M924" s="28">
        <f>SUM(M921:M923)</f>
        <v>0</v>
      </c>
    </row>
    <row r="925" spans="1:13" ht="12">
      <c r="A925" s="41">
        <v>5</v>
      </c>
      <c r="E925" s="41">
        <v>5</v>
      </c>
      <c r="F925" s="27"/>
      <c r="G925" s="45"/>
      <c r="H925" s="28"/>
      <c r="I925" s="45"/>
      <c r="J925" s="28"/>
      <c r="K925" s="43"/>
      <c r="L925" s="45"/>
      <c r="M925" s="28"/>
    </row>
    <row r="926" spans="1:13" ht="12">
      <c r="A926" s="41">
        <v>6</v>
      </c>
      <c r="E926" s="41">
        <v>6</v>
      </c>
      <c r="F926" s="27"/>
      <c r="G926" s="45"/>
      <c r="H926" s="28"/>
      <c r="I926" s="45"/>
      <c r="J926" s="28"/>
      <c r="K926" s="43"/>
      <c r="L926" s="45"/>
      <c r="M926" s="28"/>
    </row>
    <row r="927" spans="1:13" ht="12">
      <c r="A927" s="41">
        <v>7</v>
      </c>
      <c r="C927" s="4" t="s">
        <v>25</v>
      </c>
      <c r="E927" s="41">
        <v>7</v>
      </c>
      <c r="F927" s="27"/>
      <c r="G927" s="45">
        <v>0</v>
      </c>
      <c r="H927" s="28">
        <v>0</v>
      </c>
      <c r="I927" s="45">
        <v>0</v>
      </c>
      <c r="J927" s="28">
        <v>0</v>
      </c>
      <c r="K927" s="42"/>
      <c r="L927" s="45">
        <v>0</v>
      </c>
      <c r="M927" s="28">
        <v>0</v>
      </c>
    </row>
    <row r="928" spans="1:13" ht="12">
      <c r="A928" s="41">
        <v>8</v>
      </c>
      <c r="C928" s="4" t="s">
        <v>26</v>
      </c>
      <c r="E928" s="41">
        <v>8</v>
      </c>
      <c r="F928" s="27"/>
      <c r="G928" s="45"/>
      <c r="H928" s="28">
        <v>0</v>
      </c>
      <c r="I928" s="45"/>
      <c r="J928" s="28">
        <v>0</v>
      </c>
      <c r="K928" s="42"/>
      <c r="L928" s="45"/>
      <c r="M928" s="28">
        <v>0</v>
      </c>
    </row>
    <row r="929" spans="1:13" ht="12">
      <c r="A929" s="41">
        <v>9</v>
      </c>
      <c r="C929" s="4" t="s">
        <v>27</v>
      </c>
      <c r="E929" s="41">
        <v>9</v>
      </c>
      <c r="F929" s="27"/>
      <c r="G929" s="45">
        <v>0</v>
      </c>
      <c r="H929" s="28">
        <f>SUM(H927:H928)</f>
        <v>0</v>
      </c>
      <c r="I929" s="45">
        <v>0</v>
      </c>
      <c r="J929" s="28">
        <f>SUM(J927:J928)</f>
        <v>0</v>
      </c>
      <c r="K929" s="43"/>
      <c r="L929" s="45">
        <v>0</v>
      </c>
      <c r="M929" s="28">
        <f>SUM(M927:M928)</f>
        <v>0</v>
      </c>
    </row>
    <row r="930" spans="1:13" ht="12">
      <c r="A930" s="41">
        <v>10</v>
      </c>
      <c r="E930" s="41">
        <v>10</v>
      </c>
      <c r="F930" s="27"/>
      <c r="G930" s="45"/>
      <c r="H930" s="28"/>
      <c r="I930" s="45"/>
      <c r="J930" s="28"/>
      <c r="K930" s="43"/>
      <c r="L930" s="45"/>
      <c r="M930" s="28"/>
    </row>
    <row r="931" spans="1:13" ht="12">
      <c r="A931" s="41">
        <v>11</v>
      </c>
      <c r="C931" s="4" t="s">
        <v>28</v>
      </c>
      <c r="E931" s="41">
        <v>11</v>
      </c>
      <c r="F931" s="27"/>
      <c r="G931" s="45">
        <v>0</v>
      </c>
      <c r="H931" s="28">
        <f>SUM(H929,H924)</f>
        <v>0</v>
      </c>
      <c r="I931" s="45">
        <v>0</v>
      </c>
      <c r="J931" s="28">
        <f>SUM(J929,J924)</f>
        <v>0</v>
      </c>
      <c r="K931" s="43"/>
      <c r="L931" s="45">
        <v>0</v>
      </c>
      <c r="M931" s="28">
        <f>SUM(M929,M924)</f>
        <v>0</v>
      </c>
    </row>
    <row r="932" spans="1:13" ht="12">
      <c r="A932" s="41">
        <v>12</v>
      </c>
      <c r="E932" s="41">
        <v>12</v>
      </c>
      <c r="F932" s="27"/>
      <c r="G932" s="45"/>
      <c r="H932" s="28"/>
      <c r="I932" s="45"/>
      <c r="J932" s="28"/>
      <c r="K932" s="43"/>
      <c r="L932" s="45"/>
      <c r="M932" s="28"/>
    </row>
    <row r="933" spans="1:13" ht="12">
      <c r="A933" s="41">
        <v>13</v>
      </c>
      <c r="C933" s="4" t="s">
        <v>38</v>
      </c>
      <c r="E933" s="41">
        <v>13</v>
      </c>
      <c r="F933" s="27"/>
      <c r="G933" s="45"/>
      <c r="H933" s="28">
        <v>0</v>
      </c>
      <c r="I933" s="45"/>
      <c r="J933" s="28">
        <v>0</v>
      </c>
      <c r="K933" s="42"/>
      <c r="L933" s="45"/>
      <c r="M933" s="28">
        <v>0</v>
      </c>
    </row>
    <row r="934" spans="1:13" ht="12">
      <c r="A934" s="41">
        <v>14</v>
      </c>
      <c r="E934" s="41">
        <v>14</v>
      </c>
      <c r="F934" s="27"/>
      <c r="G934" s="45"/>
      <c r="H934" s="28"/>
      <c r="I934" s="45"/>
      <c r="J934" s="28"/>
      <c r="K934" s="42"/>
      <c r="L934" s="45"/>
      <c r="M934" s="28"/>
    </row>
    <row r="935" spans="1:13" ht="12">
      <c r="A935" s="41">
        <v>15</v>
      </c>
      <c r="C935" s="4" t="s">
        <v>30</v>
      </c>
      <c r="E935" s="41">
        <v>15</v>
      </c>
      <c r="F935" s="27"/>
      <c r="G935" s="45"/>
      <c r="H935" s="28">
        <v>0</v>
      </c>
      <c r="I935" s="45"/>
      <c r="J935" s="28">
        <v>0</v>
      </c>
      <c r="K935" s="42"/>
      <c r="L935" s="45"/>
      <c r="M935" s="28">
        <v>0</v>
      </c>
    </row>
    <row r="936" spans="1:13" ht="12">
      <c r="A936" s="41">
        <v>16</v>
      </c>
      <c r="C936" s="4" t="s">
        <v>31</v>
      </c>
      <c r="E936" s="41">
        <v>16</v>
      </c>
      <c r="F936" s="27"/>
      <c r="G936" s="45"/>
      <c r="H936" s="28">
        <v>0</v>
      </c>
      <c r="I936" s="45"/>
      <c r="J936" s="28">
        <v>0</v>
      </c>
      <c r="K936" s="42"/>
      <c r="L936" s="45"/>
      <c r="M936" s="28">
        <v>0</v>
      </c>
    </row>
    <row r="937" spans="1:13" ht="12">
      <c r="A937" s="41">
        <v>17</v>
      </c>
      <c r="C937" s="4" t="s">
        <v>32</v>
      </c>
      <c r="E937" s="41">
        <v>17</v>
      </c>
      <c r="F937" s="27"/>
      <c r="G937" s="45"/>
      <c r="H937" s="28">
        <v>0</v>
      </c>
      <c r="I937" s="45"/>
      <c r="J937" s="28">
        <v>0</v>
      </c>
      <c r="K937" s="42"/>
      <c r="L937" s="45"/>
      <c r="M937" s="28">
        <v>0</v>
      </c>
    </row>
    <row r="938" spans="1:13" ht="12">
      <c r="A938" s="41">
        <v>18</v>
      </c>
      <c r="C938" s="4"/>
      <c r="E938" s="41">
        <v>18</v>
      </c>
      <c r="F938" s="27"/>
      <c r="G938" s="45"/>
      <c r="H938" s="28"/>
      <c r="I938" s="45"/>
      <c r="J938" s="28"/>
      <c r="K938" s="42"/>
      <c r="L938" s="45"/>
      <c r="M938" s="28"/>
    </row>
    <row r="939" spans="1:13" ht="12">
      <c r="A939" s="41">
        <v>19</v>
      </c>
      <c r="C939" s="4"/>
      <c r="E939" s="41">
        <v>19</v>
      </c>
      <c r="F939" s="27"/>
      <c r="G939" s="45"/>
      <c r="H939" s="28"/>
      <c r="I939" s="45"/>
      <c r="J939" s="28"/>
      <c r="K939" s="42"/>
      <c r="L939" s="45"/>
      <c r="M939" s="28"/>
    </row>
    <row r="940" spans="1:13" ht="12">
      <c r="A940" s="41">
        <v>20</v>
      </c>
      <c r="C940" s="4"/>
      <c r="E940" s="41">
        <v>20</v>
      </c>
      <c r="F940" s="27"/>
      <c r="G940" s="45"/>
      <c r="H940" s="28"/>
      <c r="I940" s="45"/>
      <c r="J940" s="28"/>
      <c r="K940" s="42"/>
      <c r="L940" s="45"/>
      <c r="M940" s="28"/>
    </row>
    <row r="941" spans="1:13" ht="12">
      <c r="A941" s="41">
        <v>21</v>
      </c>
      <c r="C941" s="4"/>
      <c r="E941" s="41">
        <v>21</v>
      </c>
      <c r="F941" s="27"/>
      <c r="G941" s="45"/>
      <c r="H941" s="28"/>
      <c r="I941" s="45"/>
      <c r="J941" s="28"/>
      <c r="K941" s="42"/>
      <c r="L941" s="45"/>
      <c r="M941" s="28"/>
    </row>
    <row r="942" spans="1:13" ht="12">
      <c r="A942" s="41">
        <v>22</v>
      </c>
      <c r="C942" s="4"/>
      <c r="E942" s="41">
        <v>22</v>
      </c>
      <c r="F942" s="27"/>
      <c r="G942" s="45"/>
      <c r="H942" s="28"/>
      <c r="I942" s="45"/>
      <c r="J942" s="28"/>
      <c r="K942" s="42"/>
      <c r="L942" s="45"/>
      <c r="M942" s="28"/>
    </row>
    <row r="943" spans="1:13" ht="12">
      <c r="A943" s="41">
        <v>23</v>
      </c>
      <c r="C943" s="4"/>
      <c r="E943" s="41">
        <v>23</v>
      </c>
      <c r="F943" s="27"/>
      <c r="G943" s="45"/>
      <c r="H943" s="28"/>
      <c r="I943" s="45"/>
      <c r="J943" s="28"/>
      <c r="K943" s="42"/>
      <c r="L943" s="45"/>
      <c r="M943" s="28"/>
    </row>
    <row r="944" spans="1:13" ht="12">
      <c r="A944" s="41">
        <v>24</v>
      </c>
      <c r="C944" s="4"/>
      <c r="E944" s="41">
        <v>24</v>
      </c>
      <c r="F944" s="27"/>
      <c r="G944" s="46"/>
      <c r="H944" s="29"/>
      <c r="I944" s="46"/>
      <c r="J944" s="29"/>
      <c r="K944" s="27"/>
      <c r="L944" s="46"/>
      <c r="M944" s="29"/>
    </row>
    <row r="945" spans="1:13" ht="8.25" customHeight="1">
      <c r="A945" s="15" t="s">
        <v>1</v>
      </c>
      <c r="B945" s="15" t="s">
        <v>1</v>
      </c>
      <c r="C945" s="15" t="s">
        <v>1</v>
      </c>
      <c r="D945" s="15" t="s">
        <v>1</v>
      </c>
      <c r="E945" s="15" t="s">
        <v>1</v>
      </c>
      <c r="F945" s="15" t="s">
        <v>1</v>
      </c>
      <c r="G945" s="15"/>
      <c r="H945" s="15"/>
      <c r="I945" s="16" t="s">
        <v>1</v>
      </c>
      <c r="J945" s="19" t="s">
        <v>1</v>
      </c>
      <c r="K945" s="15" t="s">
        <v>1</v>
      </c>
      <c r="L945" s="16" t="s">
        <v>1</v>
      </c>
      <c r="M945" s="19" t="s">
        <v>1</v>
      </c>
    </row>
    <row r="946" spans="1:13" ht="15.75" customHeight="1">
      <c r="A946" s="41">
        <v>25</v>
      </c>
      <c r="C946" s="4" t="s">
        <v>274</v>
      </c>
      <c r="E946" s="41">
        <v>25</v>
      </c>
      <c r="G946" s="112">
        <f>SUM(G931:G944)</f>
        <v>0</v>
      </c>
      <c r="H946" s="44">
        <f>SUM(H931:H944)</f>
        <v>0</v>
      </c>
      <c r="I946" s="112">
        <f>SUM(I931:I944)</f>
        <v>0</v>
      </c>
      <c r="J946" s="44">
        <f>SUM(J931:J944)</f>
        <v>0</v>
      </c>
      <c r="K946" s="1"/>
      <c r="L946" s="112">
        <f>SUM(L931:L944)</f>
        <v>0</v>
      </c>
      <c r="M946" s="44">
        <f>SUM(M931:M944)</f>
        <v>0</v>
      </c>
    </row>
    <row r="947" spans="5:13" ht="12">
      <c r="E947" s="38"/>
      <c r="F947" s="24" t="s">
        <v>1</v>
      </c>
      <c r="G947" s="24"/>
      <c r="H947" s="24"/>
      <c r="I947" s="16"/>
      <c r="J947" s="19"/>
      <c r="K947" s="24"/>
      <c r="L947" s="16"/>
      <c r="M947" s="19"/>
    </row>
    <row r="949" spans="1:13" ht="12">
      <c r="A949" s="4"/>
      <c r="J949" s="25"/>
      <c r="M949" s="25"/>
    </row>
    <row r="950" spans="1:13" s="21" customFormat="1" ht="12">
      <c r="A950" s="70" t="str">
        <f>$A$82</f>
        <v>Institution No.:  GFC</v>
      </c>
      <c r="E950" s="20"/>
      <c r="I950" s="22"/>
      <c r="J950" s="23"/>
      <c r="L950" s="22"/>
      <c r="M950" s="69" t="s">
        <v>56</v>
      </c>
    </row>
    <row r="951" spans="1:13" s="21" customFormat="1" ht="12">
      <c r="A951" s="435" t="s">
        <v>57</v>
      </c>
      <c r="B951" s="435"/>
      <c r="C951" s="435"/>
      <c r="D951" s="435"/>
      <c r="E951" s="435"/>
      <c r="F951" s="435"/>
      <c r="G951" s="435"/>
      <c r="H951" s="435"/>
      <c r="I951" s="435"/>
      <c r="J951" s="435"/>
      <c r="K951" s="435"/>
      <c r="L951" s="435"/>
      <c r="M951" s="435"/>
    </row>
    <row r="952" spans="1:13" ht="12">
      <c r="A952" s="70" t="str">
        <f>$A$42</f>
        <v>NAME: UNIVERSITY OF COLORADO AT COLORADO SPRINGS</v>
      </c>
      <c r="J952" s="121"/>
      <c r="L952" s="6"/>
      <c r="M952" s="72" t="str">
        <f>$M$3</f>
        <v>Date: 10/1/2007</v>
      </c>
    </row>
    <row r="953" spans="1:13" ht="12">
      <c r="A953" s="15" t="s">
        <v>1</v>
      </c>
      <c r="B953" s="15" t="s">
        <v>1</v>
      </c>
      <c r="C953" s="15" t="s">
        <v>1</v>
      </c>
      <c r="D953" s="15" t="s">
        <v>1</v>
      </c>
      <c r="E953" s="15" t="s">
        <v>1</v>
      </c>
      <c r="F953" s="15" t="s">
        <v>1</v>
      </c>
      <c r="G953" s="15"/>
      <c r="H953" s="15"/>
      <c r="I953" s="16" t="s">
        <v>1</v>
      </c>
      <c r="J953" s="19" t="s">
        <v>1</v>
      </c>
      <c r="K953" s="15" t="s">
        <v>1</v>
      </c>
      <c r="L953" s="16" t="s">
        <v>1</v>
      </c>
      <c r="M953" s="19" t="s">
        <v>1</v>
      </c>
    </row>
    <row r="954" spans="1:13" ht="12">
      <c r="A954" s="73" t="s">
        <v>2</v>
      </c>
      <c r="E954" s="73" t="s">
        <v>2</v>
      </c>
      <c r="F954" s="1"/>
      <c r="G954" s="1"/>
      <c r="H954" s="1" t="s">
        <v>172</v>
      </c>
      <c r="I954" s="2"/>
      <c r="J954" s="3" t="s">
        <v>280</v>
      </c>
      <c r="K954" s="1"/>
      <c r="L954" s="2"/>
      <c r="M954" s="3" t="s">
        <v>289</v>
      </c>
    </row>
    <row r="955" spans="1:13" ht="12">
      <c r="A955" s="73" t="s">
        <v>4</v>
      </c>
      <c r="C955" s="74" t="s">
        <v>20</v>
      </c>
      <c r="E955" s="73" t="s">
        <v>4</v>
      </c>
      <c r="F955" s="1"/>
      <c r="G955" s="1"/>
      <c r="H955" s="3" t="s">
        <v>7</v>
      </c>
      <c r="I955" s="2"/>
      <c r="J955" s="3" t="s">
        <v>7</v>
      </c>
      <c r="K955" s="1"/>
      <c r="L955" s="2"/>
      <c r="M955" s="3" t="s">
        <v>8</v>
      </c>
    </row>
    <row r="956" spans="1:13" ht="12">
      <c r="A956" s="15" t="s">
        <v>1</v>
      </c>
      <c r="B956" s="15" t="s">
        <v>1</v>
      </c>
      <c r="C956" s="15" t="s">
        <v>1</v>
      </c>
      <c r="D956" s="15" t="s">
        <v>1</v>
      </c>
      <c r="E956" s="15" t="s">
        <v>1</v>
      </c>
      <c r="F956" s="15" t="s">
        <v>1</v>
      </c>
      <c r="G956" s="15"/>
      <c r="H956" s="15"/>
      <c r="I956" s="16" t="s">
        <v>1</v>
      </c>
      <c r="J956" s="19" t="s">
        <v>1</v>
      </c>
      <c r="K956" s="15" t="s">
        <v>1</v>
      </c>
      <c r="L956" s="16" t="s">
        <v>1</v>
      </c>
      <c r="M956" s="19" t="s">
        <v>1</v>
      </c>
    </row>
    <row r="957" spans="1:13" ht="12">
      <c r="A957" s="30">
        <v>1</v>
      </c>
      <c r="C957" s="5" t="s">
        <v>58</v>
      </c>
      <c r="E957" s="30">
        <v>1</v>
      </c>
      <c r="F957" s="27"/>
      <c r="G957" s="27"/>
      <c r="H957" s="28"/>
      <c r="I957" s="28"/>
      <c r="J957" s="28"/>
      <c r="K957" s="28"/>
      <c r="L957" s="28"/>
      <c r="M957" s="28"/>
    </row>
    <row r="958" spans="1:13" ht="12">
      <c r="A958" s="30">
        <v>2</v>
      </c>
      <c r="C958" s="5" t="s">
        <v>316</v>
      </c>
      <c r="E958" s="30">
        <v>2</v>
      </c>
      <c r="F958" s="27"/>
      <c r="G958" s="27"/>
      <c r="H958" s="28">
        <v>177753</v>
      </c>
      <c r="I958" s="28"/>
      <c r="J958" s="28">
        <f>80000+97405.14</f>
        <v>177405.14</v>
      </c>
      <c r="K958" s="28"/>
      <c r="L958" s="28"/>
      <c r="M958" s="28">
        <v>173137.5</v>
      </c>
    </row>
    <row r="959" spans="1:13" ht="12">
      <c r="A959" s="30">
        <v>3</v>
      </c>
      <c r="C959" s="27" t="s">
        <v>317</v>
      </c>
      <c r="E959" s="30">
        <v>3</v>
      </c>
      <c r="F959" s="27"/>
      <c r="G959" s="27"/>
      <c r="H959" s="28">
        <v>391202</v>
      </c>
      <c r="I959" s="28"/>
      <c r="J959" s="28">
        <v>400690</v>
      </c>
      <c r="K959" s="28"/>
      <c r="L959" s="28"/>
      <c r="M959" s="28">
        <v>492950</v>
      </c>
    </row>
    <row r="960" spans="1:13" ht="12">
      <c r="A960" s="30">
        <v>4</v>
      </c>
      <c r="C960" s="27" t="s">
        <v>318</v>
      </c>
      <c r="E960" s="30">
        <v>4</v>
      </c>
      <c r="F960" s="27"/>
      <c r="G960" s="27"/>
      <c r="H960" s="28">
        <v>25780</v>
      </c>
      <c r="I960" s="28"/>
      <c r="J960" s="28">
        <f>20132.45+14399.99</f>
        <v>34532.44</v>
      </c>
      <c r="K960" s="28"/>
      <c r="L960" s="28"/>
      <c r="M960" s="28">
        <v>0</v>
      </c>
    </row>
    <row r="961" spans="1:13" ht="12">
      <c r="A961" s="30">
        <v>5</v>
      </c>
      <c r="C961" s="4" t="s">
        <v>319</v>
      </c>
      <c r="E961" s="30">
        <v>5</v>
      </c>
      <c r="F961" s="27"/>
      <c r="G961" s="27"/>
      <c r="H961" s="28">
        <v>35264</v>
      </c>
      <c r="I961" s="28"/>
      <c r="J961" s="28">
        <f>43218+5402+2161+3241</f>
        <v>54022</v>
      </c>
      <c r="K961" s="28"/>
      <c r="L961" s="28"/>
      <c r="M961" s="28">
        <v>102522</v>
      </c>
    </row>
    <row r="962" spans="1:13" ht="12">
      <c r="A962" s="30">
        <v>6</v>
      </c>
      <c r="C962" s="27"/>
      <c r="E962" s="30">
        <v>6</v>
      </c>
      <c r="F962" s="27"/>
      <c r="G962" s="27"/>
      <c r="H962" s="28">
        <v>0</v>
      </c>
      <c r="I962" s="28"/>
      <c r="J962" s="28">
        <v>0</v>
      </c>
      <c r="K962" s="28"/>
      <c r="L962" s="28"/>
      <c r="M962" s="28">
        <v>0</v>
      </c>
    </row>
    <row r="963" spans="1:13" ht="12">
      <c r="A963" s="30">
        <v>7</v>
      </c>
      <c r="C963" s="27"/>
      <c r="E963" s="30">
        <v>7</v>
      </c>
      <c r="F963" s="27"/>
      <c r="G963" s="27"/>
      <c r="H963" s="28">
        <v>0</v>
      </c>
      <c r="I963" s="28"/>
      <c r="J963" s="28">
        <v>0</v>
      </c>
      <c r="K963" s="28"/>
      <c r="L963" s="28"/>
      <c r="M963" s="28">
        <v>0</v>
      </c>
    </row>
    <row r="964" spans="1:13" ht="12">
      <c r="A964" s="30">
        <v>8</v>
      </c>
      <c r="E964" s="30">
        <v>8</v>
      </c>
      <c r="F964" s="27"/>
      <c r="G964" s="27"/>
      <c r="H964" s="28">
        <v>0</v>
      </c>
      <c r="I964" s="28"/>
      <c r="J964" s="28">
        <v>0</v>
      </c>
      <c r="K964" s="28"/>
      <c r="L964" s="28"/>
      <c r="M964" s="28">
        <v>0</v>
      </c>
    </row>
    <row r="965" spans="1:13" ht="12">
      <c r="A965" s="30">
        <v>9</v>
      </c>
      <c r="E965" s="30">
        <v>9</v>
      </c>
      <c r="F965" s="27"/>
      <c r="G965" s="27"/>
      <c r="H965" s="28">
        <v>0</v>
      </c>
      <c r="I965" s="28"/>
      <c r="J965" s="28">
        <v>0</v>
      </c>
      <c r="K965" s="28"/>
      <c r="L965" s="28"/>
      <c r="M965" s="28">
        <v>0</v>
      </c>
    </row>
    <row r="966" spans="1:13" ht="12">
      <c r="A966" s="37"/>
      <c r="E966" s="37"/>
      <c r="F966" s="24" t="s">
        <v>1</v>
      </c>
      <c r="G966" s="24"/>
      <c r="H966" s="56"/>
      <c r="I966" s="56" t="s">
        <v>1</v>
      </c>
      <c r="J966" s="56"/>
      <c r="K966" s="56"/>
      <c r="L966" s="56"/>
      <c r="M966" s="56"/>
    </row>
    <row r="967" spans="1:13" ht="12">
      <c r="A967" s="30">
        <v>10</v>
      </c>
      <c r="C967" s="5" t="s">
        <v>98</v>
      </c>
      <c r="E967" s="30">
        <v>10</v>
      </c>
      <c r="H967" s="44">
        <f>SUM(H957:H965)</f>
        <v>629999</v>
      </c>
      <c r="I967" s="49"/>
      <c r="J967" s="28">
        <f>SUM(J957:J965)-1</f>
        <v>666648.5800000001</v>
      </c>
      <c r="K967" s="44"/>
      <c r="L967" s="49"/>
      <c r="M967" s="28">
        <f>SUM(M957:M965)</f>
        <v>768609.5</v>
      </c>
    </row>
    <row r="968" spans="1:13" ht="12">
      <c r="A968" s="30"/>
      <c r="E968" s="30"/>
      <c r="F968" s="24" t="s">
        <v>1</v>
      </c>
      <c r="G968" s="24"/>
      <c r="H968" s="56"/>
      <c r="I968" s="56" t="s">
        <v>1</v>
      </c>
      <c r="J968" s="56"/>
      <c r="K968" s="56"/>
      <c r="L968" s="56"/>
      <c r="M968" s="56"/>
    </row>
    <row r="969" spans="1:13" ht="12">
      <c r="A969" s="30">
        <v>11</v>
      </c>
      <c r="C969" s="27"/>
      <c r="E969" s="30">
        <v>11</v>
      </c>
      <c r="F969" s="27"/>
      <c r="G969" s="27"/>
      <c r="H969" s="28"/>
      <c r="I969" s="28"/>
      <c r="J969" s="28"/>
      <c r="K969" s="28"/>
      <c r="L969" s="28"/>
      <c r="M969" s="28"/>
    </row>
    <row r="970" spans="1:13" ht="12">
      <c r="A970" s="30">
        <v>12</v>
      </c>
      <c r="C970" s="4" t="s">
        <v>169</v>
      </c>
      <c r="E970" s="30">
        <v>12</v>
      </c>
      <c r="F970" s="27"/>
      <c r="G970" s="27"/>
      <c r="H970" s="28"/>
      <c r="I970" s="28"/>
      <c r="J970" s="28"/>
      <c r="K970" s="28"/>
      <c r="L970" s="28"/>
      <c r="M970" s="28">
        <v>0</v>
      </c>
    </row>
    <row r="971" spans="1:13" ht="12">
      <c r="A971" s="30">
        <v>13</v>
      </c>
      <c r="C971" s="27" t="s">
        <v>320</v>
      </c>
      <c r="E971" s="30">
        <v>13</v>
      </c>
      <c r="F971" s="27"/>
      <c r="G971" s="27"/>
      <c r="H971" s="28">
        <v>6909837</v>
      </c>
      <c r="I971" s="28"/>
      <c r="J971" s="28">
        <f>997110-129454</f>
        <v>867656</v>
      </c>
      <c r="K971" s="28"/>
      <c r="L971" s="28"/>
      <c r="M971" s="28">
        <f>694608+363430-10000-1</f>
        <v>1048037</v>
      </c>
    </row>
    <row r="972" spans="1:13" ht="12">
      <c r="A972" s="30">
        <v>14</v>
      </c>
      <c r="C972" s="5" t="s">
        <v>321</v>
      </c>
      <c r="E972" s="30">
        <v>14</v>
      </c>
      <c r="F972" s="27"/>
      <c r="G972" s="27"/>
      <c r="H972" s="28">
        <v>820611</v>
      </c>
      <c r="I972" s="28"/>
      <c r="J972" s="28">
        <f>1267724</f>
        <v>1267724</v>
      </c>
      <c r="K972" s="28"/>
      <c r="L972" s="28"/>
      <c r="M972" s="28">
        <v>0</v>
      </c>
    </row>
    <row r="973" spans="1:13" ht="12">
      <c r="A973" s="30">
        <v>15</v>
      </c>
      <c r="C973" s="5" t="s">
        <v>316</v>
      </c>
      <c r="E973" s="30">
        <v>15</v>
      </c>
      <c r="F973" s="27"/>
      <c r="G973" s="27"/>
      <c r="H973" s="28">
        <v>129454</v>
      </c>
      <c r="I973" s="28"/>
      <c r="J973" s="28">
        <f>91698+37756</f>
        <v>129454</v>
      </c>
      <c r="K973" s="28"/>
      <c r="L973" s="28"/>
      <c r="M973" s="28">
        <v>0</v>
      </c>
    </row>
    <row r="974" spans="1:13" ht="12">
      <c r="A974" s="30">
        <v>16</v>
      </c>
      <c r="E974" s="30">
        <v>16</v>
      </c>
      <c r="F974" s="27"/>
      <c r="G974" s="27"/>
      <c r="H974" s="28"/>
      <c r="I974" s="28"/>
      <c r="J974" s="28">
        <v>0</v>
      </c>
      <c r="K974" s="28"/>
      <c r="L974" s="28"/>
      <c r="M974" s="28">
        <v>0</v>
      </c>
    </row>
    <row r="975" spans="1:13" ht="12">
      <c r="A975" s="30">
        <v>17</v>
      </c>
      <c r="C975" s="31"/>
      <c r="D975" s="36"/>
      <c r="E975" s="30">
        <v>17</v>
      </c>
      <c r="F975" s="27"/>
      <c r="G975" s="27"/>
      <c r="H975" s="28"/>
      <c r="I975" s="28"/>
      <c r="J975" s="28">
        <v>0</v>
      </c>
      <c r="K975" s="28"/>
      <c r="L975" s="28"/>
      <c r="M975" s="28">
        <v>0</v>
      </c>
    </row>
    <row r="976" spans="1:13" ht="12">
      <c r="A976" s="30">
        <v>18</v>
      </c>
      <c r="C976" s="36"/>
      <c r="D976" s="36"/>
      <c r="E976" s="30">
        <v>18</v>
      </c>
      <c r="F976" s="27"/>
      <c r="G976" s="27"/>
      <c r="H976" s="28">
        <v>0</v>
      </c>
      <c r="I976" s="28"/>
      <c r="J976" s="28">
        <v>0</v>
      </c>
      <c r="K976" s="28"/>
      <c r="L976" s="28"/>
      <c r="M976" s="28">
        <v>0</v>
      </c>
    </row>
    <row r="977" spans="1:13" ht="12">
      <c r="A977" s="30"/>
      <c r="C977" s="50"/>
      <c r="D977" s="36"/>
      <c r="E977" s="30"/>
      <c r="F977" s="24" t="s">
        <v>1</v>
      </c>
      <c r="G977" s="24"/>
      <c r="H977" s="24"/>
      <c r="I977" s="16" t="s">
        <v>1</v>
      </c>
      <c r="J977" s="19"/>
      <c r="K977" s="24"/>
      <c r="L977" s="16"/>
      <c r="M977" s="19"/>
    </row>
    <row r="978" spans="1:13" ht="12">
      <c r="A978" s="30">
        <v>19</v>
      </c>
      <c r="C978" s="5" t="s">
        <v>170</v>
      </c>
      <c r="D978" s="36"/>
      <c r="E978" s="30">
        <v>19</v>
      </c>
      <c r="H978" s="44">
        <f>SUM(H969:H976)</f>
        <v>7859902</v>
      </c>
      <c r="I978" s="44"/>
      <c r="J978" s="44">
        <f>SUM(J969:J976)</f>
        <v>2264834</v>
      </c>
      <c r="K978" s="28"/>
      <c r="L978" s="28"/>
      <c r="M978" s="44">
        <f>SUM(M969:M976)</f>
        <v>1048037</v>
      </c>
    </row>
    <row r="979" spans="1:13" ht="12">
      <c r="A979" s="30"/>
      <c r="C979" s="50"/>
      <c r="D979" s="36"/>
      <c r="E979" s="30"/>
      <c r="F979" s="24" t="s">
        <v>1</v>
      </c>
      <c r="G979" s="24"/>
      <c r="H979" s="24"/>
      <c r="I979" s="16" t="s">
        <v>1</v>
      </c>
      <c r="J979" s="19"/>
      <c r="K979" s="24"/>
      <c r="L979" s="16"/>
      <c r="M979" s="19"/>
    </row>
    <row r="980" spans="1:10" ht="8.25" customHeight="1">
      <c r="A980" s="30"/>
      <c r="C980" s="36"/>
      <c r="D980" s="36"/>
      <c r="E980" s="30"/>
      <c r="J980" s="40"/>
    </row>
    <row r="981" spans="1:13" ht="15.75" customHeight="1">
      <c r="A981" s="30">
        <v>20</v>
      </c>
      <c r="C981" s="4" t="s">
        <v>275</v>
      </c>
      <c r="E981" s="30">
        <v>20</v>
      </c>
      <c r="H981" s="44">
        <f>SUM(H967,H978)</f>
        <v>8489901</v>
      </c>
      <c r="I981" s="49"/>
      <c r="J981" s="44">
        <f>SUM(J967,J978)</f>
        <v>2931482.58</v>
      </c>
      <c r="K981" s="44"/>
      <c r="L981" s="49"/>
      <c r="M981" s="44">
        <f>SUM(M967,M978)</f>
        <v>1816646.5</v>
      </c>
    </row>
    <row r="982" spans="3:13" ht="12">
      <c r="C982" s="75" t="s">
        <v>99</v>
      </c>
      <c r="E982" s="38"/>
      <c r="F982" s="24" t="s">
        <v>1</v>
      </c>
      <c r="G982" s="24"/>
      <c r="H982" s="24"/>
      <c r="I982" s="16" t="s">
        <v>1</v>
      </c>
      <c r="J982" s="19"/>
      <c r="K982" s="24"/>
      <c r="L982" s="16"/>
      <c r="M982" s="19"/>
    </row>
    <row r="983" ht="12">
      <c r="C983" s="4" t="s">
        <v>0</v>
      </c>
    </row>
    <row r="984" ht="12">
      <c r="D984" s="1"/>
    </row>
    <row r="985" spans="1:13" s="21" customFormat="1" ht="12">
      <c r="A985" s="70" t="str">
        <f>$A$82</f>
        <v>Institution No.:  GFC</v>
      </c>
      <c r="D985" s="60"/>
      <c r="F985" s="20"/>
      <c r="G985" s="20"/>
      <c r="H985" s="20"/>
      <c r="I985" s="22"/>
      <c r="J985" s="23"/>
      <c r="L985" s="122"/>
      <c r="M985" s="105" t="s">
        <v>110</v>
      </c>
    </row>
    <row r="986" spans="1:13" s="21" customFormat="1" ht="12.75" customHeight="1">
      <c r="A986" s="422" t="s">
        <v>168</v>
      </c>
      <c r="B986" s="422"/>
      <c r="C986" s="422"/>
      <c r="D986" s="422"/>
      <c r="E986" s="422"/>
      <c r="F986" s="422"/>
      <c r="G986" s="422"/>
      <c r="H986" s="422"/>
      <c r="I986" s="422"/>
      <c r="J986" s="422"/>
      <c r="K986" s="422"/>
      <c r="L986" s="422"/>
      <c r="M986" s="422"/>
    </row>
    <row r="987" spans="1:13" ht="12">
      <c r="A987" s="70" t="str">
        <f>$A$42</f>
        <v>NAME: UNIVERSITY OF COLORADO AT COLORADO SPRINGS</v>
      </c>
      <c r="D987" s="433"/>
      <c r="E987" s="433"/>
      <c r="F987" s="433"/>
      <c r="G987" s="123"/>
      <c r="H987" s="123"/>
      <c r="M987" s="72" t="str">
        <f>$M$3</f>
        <v>Date: 10/1/2007</v>
      </c>
    </row>
    <row r="988" spans="1:13" ht="12">
      <c r="A988" s="15" t="s">
        <v>1</v>
      </c>
      <c r="B988" s="15" t="s">
        <v>1</v>
      </c>
      <c r="C988" s="15" t="s">
        <v>1</v>
      </c>
      <c r="D988" s="15" t="s">
        <v>1</v>
      </c>
      <c r="E988" s="15" t="s">
        <v>1</v>
      </c>
      <c r="F988" s="15" t="s">
        <v>1</v>
      </c>
      <c r="G988" s="15"/>
      <c r="H988" s="15"/>
      <c r="I988" s="16" t="s">
        <v>1</v>
      </c>
      <c r="J988" s="19" t="s">
        <v>1</v>
      </c>
      <c r="K988" s="15" t="s">
        <v>1</v>
      </c>
      <c r="L988" s="16" t="s">
        <v>1</v>
      </c>
      <c r="M988" s="19" t="s">
        <v>1</v>
      </c>
    </row>
    <row r="989" spans="1:13" ht="12">
      <c r="A989" s="73" t="s">
        <v>2</v>
      </c>
      <c r="D989" s="1"/>
      <c r="E989" s="73" t="s">
        <v>2</v>
      </c>
      <c r="F989" s="1"/>
      <c r="G989" s="432" t="s">
        <v>247</v>
      </c>
      <c r="H989" s="432"/>
      <c r="I989" s="432" t="s">
        <v>281</v>
      </c>
      <c r="J989" s="432"/>
      <c r="K989" s="1"/>
      <c r="L989" s="432" t="s">
        <v>290</v>
      </c>
      <c r="M989" s="432"/>
    </row>
    <row r="990" spans="1:13" ht="12">
      <c r="A990" s="73" t="s">
        <v>4</v>
      </c>
      <c r="C990" s="4" t="s">
        <v>111</v>
      </c>
      <c r="D990" s="1" t="s">
        <v>112</v>
      </c>
      <c r="E990" s="73" t="s">
        <v>4</v>
      </c>
      <c r="F990" s="1"/>
      <c r="G990" s="2" t="s">
        <v>103</v>
      </c>
      <c r="H990" s="3" t="s">
        <v>104</v>
      </c>
      <c r="I990" s="2" t="s">
        <v>103</v>
      </c>
      <c r="J990" s="3" t="s">
        <v>104</v>
      </c>
      <c r="K990" s="1"/>
      <c r="L990" s="2" t="s">
        <v>103</v>
      </c>
      <c r="M990" s="3" t="s">
        <v>104</v>
      </c>
    </row>
    <row r="991" spans="3:13" ht="12">
      <c r="C991" s="5" t="s">
        <v>113</v>
      </c>
      <c r="D991" s="1" t="s">
        <v>114</v>
      </c>
      <c r="E991" s="1"/>
      <c r="F991" s="1"/>
      <c r="G991" s="2" t="s">
        <v>105</v>
      </c>
      <c r="H991" s="3" t="s">
        <v>106</v>
      </c>
      <c r="I991" s="2" t="s">
        <v>105</v>
      </c>
      <c r="J991" s="3" t="s">
        <v>106</v>
      </c>
      <c r="K991" s="1"/>
      <c r="L991" s="2" t="s">
        <v>105</v>
      </c>
      <c r="M991" s="3" t="s">
        <v>106</v>
      </c>
    </row>
    <row r="992" spans="1:13" ht="12">
      <c r="A992" s="15" t="s">
        <v>1</v>
      </c>
      <c r="B992" s="15" t="s">
        <v>1</v>
      </c>
      <c r="C992" s="15" t="s">
        <v>1</v>
      </c>
      <c r="D992" s="15" t="s">
        <v>1</v>
      </c>
      <c r="E992" s="15" t="s">
        <v>1</v>
      </c>
      <c r="F992" s="113" t="s">
        <v>225</v>
      </c>
      <c r="I992" s="16" t="s">
        <v>1</v>
      </c>
      <c r="J992" s="19" t="s">
        <v>1</v>
      </c>
      <c r="K992" s="15" t="s">
        <v>1</v>
      </c>
      <c r="L992" s="16" t="s">
        <v>1</v>
      </c>
      <c r="M992" s="19" t="s">
        <v>1</v>
      </c>
    </row>
    <row r="993" spans="1:13" ht="12">
      <c r="A993" s="15"/>
      <c r="B993" s="15"/>
      <c r="D993" s="74"/>
      <c r="E993" s="15"/>
      <c r="I993" s="16"/>
      <c r="J993" s="19"/>
      <c r="K993" s="24"/>
      <c r="L993" s="16"/>
      <c r="M993" s="19"/>
    </row>
    <row r="994" spans="1:13" ht="12">
      <c r="A994" s="41">
        <v>1</v>
      </c>
      <c r="C994" s="124" t="s">
        <v>107</v>
      </c>
      <c r="D994" s="125"/>
      <c r="E994" s="41">
        <v>1</v>
      </c>
      <c r="F994" s="126"/>
      <c r="G994" s="109"/>
      <c r="H994" s="109"/>
      <c r="I994" s="109"/>
      <c r="J994" s="109"/>
      <c r="K994" s="109"/>
      <c r="L994" s="109"/>
      <c r="M994" s="109"/>
    </row>
    <row r="995" spans="1:13" ht="12">
      <c r="A995" s="41">
        <f aca="true" t="shared" si="19" ref="A995:A1017">(A994+1)</f>
        <v>2</v>
      </c>
      <c r="C995" s="5" t="s">
        <v>322</v>
      </c>
      <c r="D995" s="125"/>
      <c r="E995" s="41">
        <f aca="true" t="shared" si="20" ref="E995:E1017">(E994+1)</f>
        <v>2</v>
      </c>
      <c r="F995" s="126"/>
      <c r="G995" s="109">
        <v>1500000</v>
      </c>
      <c r="H995" s="109">
        <v>1500000</v>
      </c>
      <c r="I995" s="109">
        <v>4564623</v>
      </c>
      <c r="J995" s="109">
        <v>4564623</v>
      </c>
      <c r="K995" s="109"/>
      <c r="L995" s="109">
        <v>224222</v>
      </c>
      <c r="M995" s="109">
        <v>224221</v>
      </c>
    </row>
    <row r="996" spans="1:13" ht="12">
      <c r="A996" s="41">
        <f t="shared" si="19"/>
        <v>3</v>
      </c>
      <c r="C996" s="5" t="s">
        <v>323</v>
      </c>
      <c r="D996" s="125"/>
      <c r="E996" s="41">
        <f t="shared" si="20"/>
        <v>3</v>
      </c>
      <c r="F996" s="126"/>
      <c r="G996" s="109"/>
      <c r="H996" s="109">
        <v>4802000</v>
      </c>
      <c r="I996" s="109"/>
      <c r="J996" s="109"/>
      <c r="K996" s="109"/>
      <c r="L996" s="109"/>
      <c r="M996" s="109"/>
    </row>
    <row r="997" spans="1:13" ht="12">
      <c r="A997" s="41">
        <f t="shared" si="19"/>
        <v>4</v>
      </c>
      <c r="C997" s="5" t="s">
        <v>328</v>
      </c>
      <c r="E997" s="41">
        <f t="shared" si="20"/>
        <v>4</v>
      </c>
      <c r="F997" s="126"/>
      <c r="G997" s="109">
        <v>516796</v>
      </c>
      <c r="H997" s="109"/>
      <c r="I997" s="109">
        <v>301360</v>
      </c>
      <c r="J997" s="109"/>
      <c r="K997" s="109"/>
      <c r="L997" s="109"/>
      <c r="M997" s="109"/>
    </row>
    <row r="998" spans="1:13" ht="12">
      <c r="A998" s="41">
        <f t="shared" si="19"/>
        <v>5</v>
      </c>
      <c r="C998" s="5" t="s">
        <v>324</v>
      </c>
      <c r="D998" s="127"/>
      <c r="E998" s="41">
        <f t="shared" si="20"/>
        <v>5</v>
      </c>
      <c r="F998" s="126"/>
      <c r="G998" s="109"/>
      <c r="H998" s="109">
        <v>21800000</v>
      </c>
      <c r="I998" s="109">
        <v>2000000</v>
      </c>
      <c r="J998" s="109">
        <v>43692133</v>
      </c>
      <c r="K998" s="109"/>
      <c r="L998" s="109">
        <v>11000000</v>
      </c>
      <c r="M998" s="109"/>
    </row>
    <row r="999" spans="1:13" ht="12">
      <c r="A999" s="41">
        <f t="shared" si="19"/>
        <v>6</v>
      </c>
      <c r="C999" s="5" t="s">
        <v>325</v>
      </c>
      <c r="D999" s="127"/>
      <c r="E999" s="41">
        <f t="shared" si="20"/>
        <v>6</v>
      </c>
      <c r="F999" s="126"/>
      <c r="G999" s="109"/>
      <c r="H999" s="109"/>
      <c r="I999" s="109"/>
      <c r="J999" s="109"/>
      <c r="K999" s="109"/>
      <c r="L999" s="109"/>
      <c r="M999" s="109"/>
    </row>
    <row r="1000" spans="1:13" ht="12">
      <c r="A1000" s="41">
        <v>7</v>
      </c>
      <c r="C1000" s="5" t="s">
        <v>326</v>
      </c>
      <c r="D1000" s="125"/>
      <c r="E1000" s="41">
        <v>7</v>
      </c>
      <c r="F1000" s="126"/>
      <c r="G1000" s="109"/>
      <c r="H1000" s="109"/>
      <c r="I1000" s="109"/>
      <c r="J1000" s="109"/>
      <c r="K1000" s="109"/>
      <c r="L1000" s="109">
        <v>1766059</v>
      </c>
      <c r="M1000" s="109">
        <v>38584940</v>
      </c>
    </row>
    <row r="1001" spans="1:13" ht="12">
      <c r="A1001" s="41">
        <v>8</v>
      </c>
      <c r="D1001" s="128"/>
      <c r="E1001" s="41">
        <f t="shared" si="20"/>
        <v>8</v>
      </c>
      <c r="F1001" s="126"/>
      <c r="G1001" s="109"/>
      <c r="H1001" s="109"/>
      <c r="I1001" s="109"/>
      <c r="J1001" s="109"/>
      <c r="K1001" s="109"/>
      <c r="L1001" s="109"/>
      <c r="M1001" s="109"/>
    </row>
    <row r="1002" spans="1:13" ht="12">
      <c r="A1002" s="41">
        <f t="shared" si="19"/>
        <v>9</v>
      </c>
      <c r="D1002" s="127"/>
      <c r="E1002" s="41">
        <f t="shared" si="20"/>
        <v>9</v>
      </c>
      <c r="F1002" s="126"/>
      <c r="G1002" s="109"/>
      <c r="H1002" s="109"/>
      <c r="I1002" s="109"/>
      <c r="J1002" s="109"/>
      <c r="K1002" s="109"/>
      <c r="L1002" s="109"/>
      <c r="M1002" s="109"/>
    </row>
    <row r="1003" spans="1:13" ht="12">
      <c r="A1003" s="41">
        <f t="shared" si="19"/>
        <v>10</v>
      </c>
      <c r="D1003" s="127"/>
      <c r="E1003" s="41">
        <f t="shared" si="20"/>
        <v>10</v>
      </c>
      <c r="F1003" s="126"/>
      <c r="G1003" s="109"/>
      <c r="H1003" s="109"/>
      <c r="I1003" s="109"/>
      <c r="J1003" s="109"/>
      <c r="K1003" s="109"/>
      <c r="L1003" s="109"/>
      <c r="M1003" s="109"/>
    </row>
    <row r="1004" spans="1:13" ht="12">
      <c r="A1004" s="41">
        <f t="shared" si="19"/>
        <v>11</v>
      </c>
      <c r="D1004" s="125"/>
      <c r="E1004" s="41">
        <f t="shared" si="20"/>
        <v>11</v>
      </c>
      <c r="F1004" s="126"/>
      <c r="G1004" s="109"/>
      <c r="H1004" s="109"/>
      <c r="I1004" s="109"/>
      <c r="J1004" s="109"/>
      <c r="K1004" s="109"/>
      <c r="L1004" s="109"/>
      <c r="M1004" s="109"/>
    </row>
    <row r="1005" spans="1:13" ht="12">
      <c r="A1005" s="41">
        <f t="shared" si="19"/>
        <v>12</v>
      </c>
      <c r="C1005" s="4"/>
      <c r="D1005" s="128"/>
      <c r="E1005" s="41">
        <f t="shared" si="20"/>
        <v>12</v>
      </c>
      <c r="F1005" s="126"/>
      <c r="G1005" s="109"/>
      <c r="H1005" s="109"/>
      <c r="I1005" s="109"/>
      <c r="J1005" s="109"/>
      <c r="K1005" s="109"/>
      <c r="L1005" s="109"/>
      <c r="M1005" s="109"/>
    </row>
    <row r="1006" spans="1:13" ht="12">
      <c r="A1006" s="41">
        <f t="shared" si="19"/>
        <v>13</v>
      </c>
      <c r="D1006" s="128"/>
      <c r="E1006" s="41">
        <f t="shared" si="20"/>
        <v>13</v>
      </c>
      <c r="F1006" s="126"/>
      <c r="G1006" s="109"/>
      <c r="H1006" s="109"/>
      <c r="I1006" s="109"/>
      <c r="J1006" s="109"/>
      <c r="K1006" s="109"/>
      <c r="L1006" s="109"/>
      <c r="M1006" s="109"/>
    </row>
    <row r="1007" spans="1:13" ht="12">
      <c r="A1007" s="41">
        <f t="shared" si="19"/>
        <v>14</v>
      </c>
      <c r="D1007" s="125"/>
      <c r="E1007" s="41">
        <f t="shared" si="20"/>
        <v>14</v>
      </c>
      <c r="F1007" s="126"/>
      <c r="G1007" s="109"/>
      <c r="H1007" s="109"/>
      <c r="I1007" s="29"/>
      <c r="J1007" s="29"/>
      <c r="K1007" s="109"/>
      <c r="L1007" s="109"/>
      <c r="M1007" s="109"/>
    </row>
    <row r="1008" spans="1:13" ht="12">
      <c r="A1008" s="41">
        <f t="shared" si="19"/>
        <v>15</v>
      </c>
      <c r="D1008" s="128"/>
      <c r="E1008" s="41">
        <f t="shared" si="20"/>
        <v>15</v>
      </c>
      <c r="F1008" s="126"/>
      <c r="G1008" s="109"/>
      <c r="H1008" s="109"/>
      <c r="I1008" s="29"/>
      <c r="J1008" s="29"/>
      <c r="K1008" s="109"/>
      <c r="L1008" s="109"/>
      <c r="M1008" s="109"/>
    </row>
    <row r="1009" spans="1:13" ht="12">
      <c r="A1009" s="41">
        <f t="shared" si="19"/>
        <v>16</v>
      </c>
      <c r="C1009" s="27"/>
      <c r="D1009" s="127"/>
      <c r="E1009" s="41">
        <f t="shared" si="20"/>
        <v>16</v>
      </c>
      <c r="F1009" s="126"/>
      <c r="G1009" s="109"/>
      <c r="H1009" s="109"/>
      <c r="I1009" s="29"/>
      <c r="J1009" s="29"/>
      <c r="K1009" s="29"/>
      <c r="L1009" s="29"/>
      <c r="M1009" s="29"/>
    </row>
    <row r="1010" spans="1:13" ht="12">
      <c r="A1010" s="41">
        <f t="shared" si="19"/>
        <v>17</v>
      </c>
      <c r="C1010" s="27" t="s">
        <v>108</v>
      </c>
      <c r="D1010" s="127"/>
      <c r="E1010" s="41">
        <f t="shared" si="20"/>
        <v>17</v>
      </c>
      <c r="F1010" s="126"/>
      <c r="G1010" s="109"/>
      <c r="H1010" s="109"/>
      <c r="I1010" s="29"/>
      <c r="J1010" s="29"/>
      <c r="K1010" s="29"/>
      <c r="L1010" s="29"/>
      <c r="M1010" s="29"/>
    </row>
    <row r="1011" spans="1:13" ht="12">
      <c r="A1011" s="41">
        <f t="shared" si="19"/>
        <v>18</v>
      </c>
      <c r="C1011" s="5" t="s">
        <v>327</v>
      </c>
      <c r="D1011" s="127"/>
      <c r="E1011" s="41">
        <f t="shared" si="20"/>
        <v>18</v>
      </c>
      <c r="F1011" s="126"/>
      <c r="G1011" s="109">
        <v>215000</v>
      </c>
      <c r="H1011" s="109"/>
      <c r="I1011" s="29">
        <v>215000</v>
      </c>
      <c r="J1011" s="29"/>
      <c r="K1011" s="29"/>
      <c r="L1011" s="29">
        <v>24742</v>
      </c>
      <c r="M1011" s="29"/>
    </row>
    <row r="1012" spans="1:13" ht="12">
      <c r="A1012" s="41">
        <f t="shared" si="19"/>
        <v>19</v>
      </c>
      <c r="C1012" s="5" t="s">
        <v>328</v>
      </c>
      <c r="D1012" s="127"/>
      <c r="E1012" s="41">
        <f t="shared" si="20"/>
        <v>19</v>
      </c>
      <c r="F1012" s="126"/>
      <c r="G1012" s="109">
        <v>301360</v>
      </c>
      <c r="H1012" s="109"/>
      <c r="I1012" s="109"/>
      <c r="J1012" s="109"/>
      <c r="K1012" s="109"/>
      <c r="L1012" s="109"/>
      <c r="M1012" s="109"/>
    </row>
    <row r="1013" spans="1:13" ht="12">
      <c r="A1013" s="41">
        <f t="shared" si="19"/>
        <v>20</v>
      </c>
      <c r="C1013" s="5" t="s">
        <v>329</v>
      </c>
      <c r="D1013" s="127"/>
      <c r="E1013" s="41">
        <f t="shared" si="20"/>
        <v>20</v>
      </c>
      <c r="F1013" s="126"/>
      <c r="G1013" s="109">
        <v>83975</v>
      </c>
      <c r="H1013" s="109"/>
      <c r="I1013" s="29">
        <v>83975</v>
      </c>
      <c r="J1013" s="29"/>
      <c r="K1013" s="29"/>
      <c r="L1013" s="109">
        <v>327336</v>
      </c>
      <c r="M1013" s="109"/>
    </row>
    <row r="1014" spans="1:13" ht="12">
      <c r="A1014" s="41">
        <f t="shared" si="19"/>
        <v>21</v>
      </c>
      <c r="C1014" s="5" t="s">
        <v>330</v>
      </c>
      <c r="D1014" s="127"/>
      <c r="E1014" s="41">
        <f t="shared" si="20"/>
        <v>21</v>
      </c>
      <c r="G1014" s="109"/>
      <c r="H1014" s="109"/>
      <c r="I1014" s="109">
        <v>292018</v>
      </c>
      <c r="J1014" s="109"/>
      <c r="K1014" s="109"/>
      <c r="L1014" s="109">
        <v>270128</v>
      </c>
      <c r="M1014" s="109"/>
    </row>
    <row r="1015" spans="1:13" ht="12">
      <c r="A1015" s="41">
        <f t="shared" si="19"/>
        <v>22</v>
      </c>
      <c r="C1015" s="27" t="s">
        <v>340</v>
      </c>
      <c r="D1015" s="127"/>
      <c r="E1015" s="41">
        <f t="shared" si="20"/>
        <v>22</v>
      </c>
      <c r="G1015" s="109"/>
      <c r="H1015" s="109"/>
      <c r="I1015" s="109"/>
      <c r="J1015" s="109"/>
      <c r="K1015" s="109"/>
      <c r="L1015" s="109">
        <v>273392</v>
      </c>
      <c r="M1015" s="109"/>
    </row>
    <row r="1016" spans="1:13" ht="12">
      <c r="A1016" s="41">
        <f t="shared" si="19"/>
        <v>23</v>
      </c>
      <c r="C1016" s="5" t="s">
        <v>341</v>
      </c>
      <c r="D1016" s="127"/>
      <c r="E1016" s="41">
        <f t="shared" si="20"/>
        <v>23</v>
      </c>
      <c r="F1016" s="126"/>
      <c r="G1016" s="109"/>
      <c r="H1016" s="109"/>
      <c r="I1016" s="109"/>
      <c r="J1016" s="109"/>
      <c r="K1016" s="109"/>
      <c r="L1016" s="109">
        <v>382161</v>
      </c>
      <c r="M1016" s="109"/>
    </row>
    <row r="1017" spans="1:13" ht="12">
      <c r="A1017" s="41">
        <f t="shared" si="19"/>
        <v>24</v>
      </c>
      <c r="D1017" s="127"/>
      <c r="E1017" s="41">
        <f t="shared" si="20"/>
        <v>24</v>
      </c>
      <c r="F1017" s="126"/>
      <c r="G1017" s="109"/>
      <c r="H1017" s="109"/>
      <c r="I1017" s="109"/>
      <c r="J1017" s="109"/>
      <c r="K1017" s="29"/>
      <c r="L1017" s="29"/>
      <c r="M1017" s="109"/>
    </row>
    <row r="1018" spans="1:13" ht="12">
      <c r="A1018" s="5">
        <v>25</v>
      </c>
      <c r="D1018" s="127"/>
      <c r="E1018" s="5">
        <v>25</v>
      </c>
      <c r="F1018" s="126"/>
      <c r="G1018" s="109"/>
      <c r="H1018" s="109"/>
      <c r="I1018" s="44"/>
      <c r="J1018" s="44"/>
      <c r="K1018" s="29"/>
      <c r="L1018" s="109"/>
      <c r="M1018" s="109"/>
    </row>
    <row r="1019" spans="3:13" ht="12">
      <c r="C1019" s="27"/>
      <c r="D1019" s="127"/>
      <c r="I1019" s="39"/>
      <c r="J1019" s="40"/>
      <c r="K1019" s="129"/>
      <c r="L1019" s="39"/>
      <c r="M1019" s="40"/>
    </row>
    <row r="1020" spans="4:13" ht="12" customHeight="1">
      <c r="D1020" s="128"/>
      <c r="E1020" s="51"/>
      <c r="F1020" s="15" t="s">
        <v>1</v>
      </c>
      <c r="G1020" s="15"/>
      <c r="H1020" s="15"/>
      <c r="I1020" s="16" t="s">
        <v>1</v>
      </c>
      <c r="J1020" s="19" t="s">
        <v>1</v>
      </c>
      <c r="K1020" s="130" t="s">
        <v>1</v>
      </c>
      <c r="L1020" s="16" t="s">
        <v>1</v>
      </c>
      <c r="M1020" s="19" t="s">
        <v>1</v>
      </c>
    </row>
    <row r="1021" spans="1:13" ht="12" customHeight="1">
      <c r="A1021" s="41">
        <v>26</v>
      </c>
      <c r="C1021" s="4" t="s">
        <v>109</v>
      </c>
      <c r="D1021" s="125"/>
      <c r="E1021" s="41">
        <v>26</v>
      </c>
      <c r="G1021" s="44">
        <f>SUM(G993:G1019)</f>
        <v>2617131</v>
      </c>
      <c r="H1021" s="44">
        <f>SUM(H993:H1019)</f>
        <v>28102000</v>
      </c>
      <c r="I1021" s="44">
        <f>SUM(I993:I1019)</f>
        <v>7456976</v>
      </c>
      <c r="J1021" s="44">
        <f>SUM(J993:J1019)</f>
        <v>48256756</v>
      </c>
      <c r="K1021" s="44"/>
      <c r="L1021" s="44">
        <f>SUM(L993:L1019)</f>
        <v>14268040</v>
      </c>
      <c r="M1021" s="44">
        <f>SUM(M993:M1019)</f>
        <v>38809161</v>
      </c>
    </row>
    <row r="1022" spans="4:13" ht="12" customHeight="1">
      <c r="D1022" s="128"/>
      <c r="E1022" s="51"/>
      <c r="F1022" s="15" t="s">
        <v>1</v>
      </c>
      <c r="G1022" s="15"/>
      <c r="H1022" s="15"/>
      <c r="I1022" s="16" t="s">
        <v>1</v>
      </c>
      <c r="J1022" s="19" t="s">
        <v>1</v>
      </c>
      <c r="K1022" s="130" t="s">
        <v>1</v>
      </c>
      <c r="L1022" s="16" t="s">
        <v>1</v>
      </c>
      <c r="M1022" s="19" t="s">
        <v>1</v>
      </c>
    </row>
    <row r="1023" spans="4:13" ht="12" customHeight="1">
      <c r="D1023" s="128"/>
      <c r="E1023" s="24"/>
      <c r="F1023" s="38"/>
      <c r="G1023" s="38"/>
      <c r="H1023" s="38"/>
      <c r="I1023" s="16"/>
      <c r="J1023" s="19"/>
      <c r="K1023" s="130"/>
      <c r="L1023" s="16"/>
      <c r="M1023" s="19"/>
    </row>
    <row r="1024" spans="4:13" ht="12" customHeight="1">
      <c r="D1024" s="128"/>
      <c r="E1024" s="24"/>
      <c r="F1024" s="38"/>
      <c r="G1024" s="38"/>
      <c r="H1024" s="38"/>
      <c r="I1024" s="16"/>
      <c r="J1024" s="19"/>
      <c r="K1024" s="130"/>
      <c r="L1024" s="16"/>
      <c r="M1024" s="19"/>
    </row>
    <row r="1025" spans="4:13" ht="12" customHeight="1">
      <c r="D1025" s="128"/>
      <c r="E1025" s="24"/>
      <c r="F1025" s="38"/>
      <c r="G1025" s="38"/>
      <c r="H1025" s="38"/>
      <c r="I1025" s="16"/>
      <c r="J1025" s="19"/>
      <c r="K1025" s="130"/>
      <c r="L1025" s="16"/>
      <c r="M1025" s="19"/>
    </row>
    <row r="1026" spans="4:13" ht="12" customHeight="1">
      <c r="D1026" s="128"/>
      <c r="E1026" s="24"/>
      <c r="F1026" s="38"/>
      <c r="G1026" s="38"/>
      <c r="H1026" s="38"/>
      <c r="I1026" s="16"/>
      <c r="J1026" s="19"/>
      <c r="K1026" s="130"/>
      <c r="L1026" s="16"/>
      <c r="M1026" s="19"/>
    </row>
    <row r="1027" spans="4:13" ht="12" customHeight="1">
      <c r="D1027" s="128"/>
      <c r="E1027" s="24"/>
      <c r="F1027" s="38"/>
      <c r="G1027" s="38"/>
      <c r="H1027" s="38"/>
      <c r="I1027" s="16"/>
      <c r="J1027" s="19"/>
      <c r="K1027" s="130"/>
      <c r="L1027" s="16"/>
      <c r="M1027" s="19"/>
    </row>
    <row r="1028" spans="4:13" ht="12" customHeight="1">
      <c r="D1028" s="128"/>
      <c r="E1028" s="24"/>
      <c r="F1028" s="38"/>
      <c r="G1028" s="38"/>
      <c r="H1028" s="38"/>
      <c r="I1028" s="16"/>
      <c r="J1028" s="19"/>
      <c r="K1028" s="130"/>
      <c r="L1028" s="16"/>
      <c r="M1028" s="19"/>
    </row>
    <row r="1029" spans="4:13" ht="12" customHeight="1">
      <c r="D1029" s="128"/>
      <c r="E1029" s="24"/>
      <c r="F1029" s="38"/>
      <c r="G1029" s="38"/>
      <c r="H1029" s="38"/>
      <c r="I1029" s="16"/>
      <c r="J1029" s="19"/>
      <c r="K1029" s="130"/>
      <c r="L1029" s="16"/>
      <c r="M1029" s="19"/>
    </row>
    <row r="1030" spans="4:13" ht="12" customHeight="1">
      <c r="D1030" s="128"/>
      <c r="E1030" s="24"/>
      <c r="F1030" s="38"/>
      <c r="G1030" s="38"/>
      <c r="H1030" s="38"/>
      <c r="I1030" s="16"/>
      <c r="J1030" s="19"/>
      <c r="K1030" s="130"/>
      <c r="L1030" s="16"/>
      <c r="M1030" s="19"/>
    </row>
    <row r="1031" spans="4:13" ht="12" customHeight="1">
      <c r="D1031" s="128"/>
      <c r="E1031" s="24"/>
      <c r="F1031" s="38"/>
      <c r="G1031" s="38"/>
      <c r="H1031" s="38"/>
      <c r="I1031" s="16"/>
      <c r="J1031" s="19"/>
      <c r="K1031" s="130"/>
      <c r="L1031" s="16"/>
      <c r="M1031" s="19"/>
    </row>
    <row r="1032" spans="4:13" ht="12" customHeight="1">
      <c r="D1032" s="128"/>
      <c r="E1032" s="24"/>
      <c r="F1032" s="38"/>
      <c r="G1032" s="38"/>
      <c r="H1032" s="38"/>
      <c r="I1032" s="16"/>
      <c r="J1032" s="19"/>
      <c r="K1032" s="130"/>
      <c r="L1032" s="16"/>
      <c r="M1032" s="19"/>
    </row>
    <row r="1033" spans="4:13" ht="12" customHeight="1">
      <c r="D1033" s="128"/>
      <c r="E1033" s="24"/>
      <c r="F1033" s="38"/>
      <c r="G1033" s="38"/>
      <c r="H1033" s="38"/>
      <c r="I1033" s="16"/>
      <c r="J1033" s="19"/>
      <c r="K1033" s="130"/>
      <c r="L1033" s="16"/>
      <c r="M1033" s="19"/>
    </row>
    <row r="1034" spans="4:13" ht="12" customHeight="1">
      <c r="D1034" s="128"/>
      <c r="E1034" s="24"/>
      <c r="F1034" s="38"/>
      <c r="G1034" s="38"/>
      <c r="H1034" s="38"/>
      <c r="I1034" s="16"/>
      <c r="J1034" s="19"/>
      <c r="K1034" s="130"/>
      <c r="L1034" s="16"/>
      <c r="M1034" s="19"/>
    </row>
    <row r="1035" spans="4:13" ht="12" customHeight="1">
      <c r="D1035" s="128"/>
      <c r="E1035" s="24"/>
      <c r="F1035" s="38"/>
      <c r="G1035" s="38"/>
      <c r="H1035" s="38"/>
      <c r="I1035" s="16"/>
      <c r="J1035" s="19"/>
      <c r="K1035" s="130"/>
      <c r="L1035" s="16"/>
      <c r="M1035" s="19"/>
    </row>
    <row r="1036" spans="4:13" ht="12" customHeight="1">
      <c r="D1036" s="128"/>
      <c r="E1036" s="24"/>
      <c r="F1036" s="38"/>
      <c r="G1036" s="38"/>
      <c r="H1036" s="38"/>
      <c r="I1036" s="16"/>
      <c r="J1036" s="19"/>
      <c r="K1036" s="130"/>
      <c r="L1036" s="16"/>
      <c r="M1036" s="19"/>
    </row>
    <row r="1037" spans="4:13" ht="12" customHeight="1">
      <c r="D1037" s="128"/>
      <c r="E1037" s="24"/>
      <c r="F1037" s="38"/>
      <c r="G1037" s="38"/>
      <c r="H1037" s="38"/>
      <c r="I1037" s="16"/>
      <c r="J1037" s="19"/>
      <c r="K1037" s="130"/>
      <c r="L1037" s="16"/>
      <c r="M1037" s="19"/>
    </row>
    <row r="1038" spans="4:13" ht="12" customHeight="1">
      <c r="D1038" s="128"/>
      <c r="E1038" s="24"/>
      <c r="F1038" s="38"/>
      <c r="G1038" s="38"/>
      <c r="H1038" s="38"/>
      <c r="I1038" s="16"/>
      <c r="J1038" s="19"/>
      <c r="K1038" s="130"/>
      <c r="L1038" s="16"/>
      <c r="M1038" s="19"/>
    </row>
    <row r="1039" spans="4:13" ht="12" customHeight="1">
      <c r="D1039" s="128"/>
      <c r="E1039" s="24"/>
      <c r="F1039" s="38"/>
      <c r="G1039" s="38"/>
      <c r="H1039" s="38"/>
      <c r="I1039" s="16"/>
      <c r="J1039" s="19"/>
      <c r="K1039" s="130"/>
      <c r="L1039" s="16"/>
      <c r="M1039" s="19"/>
    </row>
    <row r="1040" spans="4:13" ht="12" customHeight="1">
      <c r="D1040" s="128"/>
      <c r="E1040" s="24"/>
      <c r="F1040" s="38"/>
      <c r="G1040" s="38"/>
      <c r="H1040" s="38"/>
      <c r="I1040" s="16"/>
      <c r="J1040" s="19"/>
      <c r="K1040" s="130"/>
      <c r="L1040" s="16"/>
      <c r="M1040" s="19"/>
    </row>
    <row r="1041" spans="4:13" ht="12" customHeight="1">
      <c r="D1041" s="128"/>
      <c r="E1041" s="24"/>
      <c r="F1041" s="38"/>
      <c r="G1041" s="38"/>
      <c r="H1041" s="38"/>
      <c r="I1041" s="16"/>
      <c r="J1041" s="19"/>
      <c r="K1041" s="130"/>
      <c r="L1041" s="16"/>
      <c r="M1041" s="19"/>
    </row>
    <row r="1042" spans="4:13" ht="12" customHeight="1">
      <c r="D1042" s="128"/>
      <c r="E1042" s="24"/>
      <c r="F1042" s="38"/>
      <c r="G1042" s="38"/>
      <c r="H1042" s="38"/>
      <c r="I1042" s="16"/>
      <c r="J1042" s="19"/>
      <c r="K1042" s="130"/>
      <c r="L1042" s="16"/>
      <c r="M1042" s="19"/>
    </row>
    <row r="1043" spans="4:13" ht="12" customHeight="1">
      <c r="D1043" s="128"/>
      <c r="E1043" s="24"/>
      <c r="F1043" s="38"/>
      <c r="G1043" s="38"/>
      <c r="H1043" s="38"/>
      <c r="I1043" s="16"/>
      <c r="J1043" s="19"/>
      <c r="K1043" s="130"/>
      <c r="L1043" s="16"/>
      <c r="M1043" s="19"/>
    </row>
    <row r="1044" spans="4:13" ht="12" customHeight="1">
      <c r="D1044" s="128"/>
      <c r="E1044" s="24"/>
      <c r="F1044" s="38"/>
      <c r="G1044" s="38"/>
      <c r="H1044" s="38"/>
      <c r="I1044" s="16"/>
      <c r="J1044" s="19"/>
      <c r="K1044" s="130"/>
      <c r="L1044" s="16"/>
      <c r="M1044" s="19"/>
    </row>
    <row r="1045" spans="4:13" ht="12" customHeight="1">
      <c r="D1045" s="128"/>
      <c r="E1045" s="24"/>
      <c r="F1045" s="38"/>
      <c r="G1045" s="38"/>
      <c r="H1045" s="38"/>
      <c r="I1045" s="16"/>
      <c r="J1045" s="19"/>
      <c r="K1045" s="130"/>
      <c r="L1045" s="16"/>
      <c r="M1045" s="19"/>
    </row>
    <row r="1046" spans="4:13" ht="12" customHeight="1">
      <c r="D1046" s="128"/>
      <c r="E1046" s="24"/>
      <c r="F1046" s="38"/>
      <c r="G1046" s="38"/>
      <c r="H1046" s="38"/>
      <c r="I1046" s="16"/>
      <c r="J1046" s="19"/>
      <c r="K1046" s="130"/>
      <c r="L1046" s="16"/>
      <c r="M1046" s="19"/>
    </row>
    <row r="1047" spans="4:13" ht="12" customHeight="1">
      <c r="D1047" s="128"/>
      <c r="E1047" s="24"/>
      <c r="F1047" s="38"/>
      <c r="G1047" s="38"/>
      <c r="H1047" s="38"/>
      <c r="I1047" s="16"/>
      <c r="J1047" s="19"/>
      <c r="K1047" s="130"/>
      <c r="L1047" s="16"/>
      <c r="M1047" s="19"/>
    </row>
    <row r="1048" spans="4:13" ht="12" customHeight="1">
      <c r="D1048" s="128"/>
      <c r="E1048" s="24"/>
      <c r="F1048" s="38"/>
      <c r="G1048" s="38"/>
      <c r="H1048" s="38"/>
      <c r="I1048" s="16"/>
      <c r="J1048" s="19"/>
      <c r="K1048" s="130"/>
      <c r="L1048" s="16"/>
      <c r="M1048" s="19"/>
    </row>
    <row r="1049" spans="4:13" ht="12" customHeight="1">
      <c r="D1049" s="128"/>
      <c r="E1049" s="24"/>
      <c r="F1049" s="38"/>
      <c r="G1049" s="38"/>
      <c r="H1049" s="38"/>
      <c r="I1049" s="16"/>
      <c r="J1049" s="19"/>
      <c r="K1049" s="130"/>
      <c r="L1049" s="16"/>
      <c r="M1049" s="19"/>
    </row>
    <row r="1050" spans="4:13" ht="12" customHeight="1">
      <c r="D1050" s="128"/>
      <c r="E1050" s="24"/>
      <c r="F1050" s="38"/>
      <c r="G1050" s="38"/>
      <c r="H1050" s="38"/>
      <c r="I1050" s="16"/>
      <c r="J1050" s="19"/>
      <c r="K1050" s="130"/>
      <c r="L1050" s="16"/>
      <c r="M1050" s="19"/>
    </row>
    <row r="1051" spans="4:13" ht="12" customHeight="1">
      <c r="D1051" s="128"/>
      <c r="E1051" s="24"/>
      <c r="F1051" s="38"/>
      <c r="G1051" s="38"/>
      <c r="H1051" s="38"/>
      <c r="I1051" s="16"/>
      <c r="J1051" s="19"/>
      <c r="K1051" s="130"/>
      <c r="L1051" s="16"/>
      <c r="M1051" s="19"/>
    </row>
    <row r="1052" spans="4:13" ht="12" customHeight="1">
      <c r="D1052" s="128"/>
      <c r="E1052" s="24"/>
      <c r="F1052" s="38"/>
      <c r="G1052" s="38"/>
      <c r="H1052" s="38"/>
      <c r="I1052" s="16"/>
      <c r="J1052" s="19"/>
      <c r="K1052" s="130"/>
      <c r="L1052" s="16"/>
      <c r="M1052" s="19"/>
    </row>
    <row r="1053" spans="4:13" ht="12" customHeight="1">
      <c r="D1053" s="128"/>
      <c r="E1053" s="24"/>
      <c r="F1053" s="38"/>
      <c r="G1053" s="38"/>
      <c r="H1053" s="38"/>
      <c r="I1053" s="16"/>
      <c r="J1053" s="19"/>
      <c r="K1053" s="130"/>
      <c r="L1053" s="16"/>
      <c r="M1053" s="19"/>
    </row>
    <row r="1054" spans="4:13" ht="12" customHeight="1">
      <c r="D1054" s="128"/>
      <c r="E1054" s="24"/>
      <c r="F1054" s="38"/>
      <c r="G1054" s="38"/>
      <c r="H1054" s="38"/>
      <c r="I1054" s="16"/>
      <c r="J1054" s="19"/>
      <c r="K1054" s="130"/>
      <c r="L1054" s="16"/>
      <c r="M1054" s="19"/>
    </row>
    <row r="1055" spans="4:13" ht="12" customHeight="1">
      <c r="D1055" s="128"/>
      <c r="E1055" s="24"/>
      <c r="F1055" s="38"/>
      <c r="G1055" s="38"/>
      <c r="H1055" s="38"/>
      <c r="I1055" s="16"/>
      <c r="J1055" s="19"/>
      <c r="K1055" s="130"/>
      <c r="L1055" s="16"/>
      <c r="M1055" s="19"/>
    </row>
    <row r="1056" spans="4:13" ht="12" customHeight="1">
      <c r="D1056" s="128"/>
      <c r="E1056" s="24"/>
      <c r="F1056" s="38"/>
      <c r="G1056" s="38"/>
      <c r="H1056" s="38"/>
      <c r="I1056" s="16"/>
      <c r="J1056" s="19"/>
      <c r="K1056" s="130"/>
      <c r="L1056" s="16"/>
      <c r="M1056" s="19"/>
    </row>
    <row r="1057" spans="4:13" ht="12" customHeight="1">
      <c r="D1057" s="128"/>
      <c r="E1057" s="24"/>
      <c r="F1057" s="38"/>
      <c r="G1057" s="38"/>
      <c r="H1057" s="38"/>
      <c r="I1057" s="16"/>
      <c r="J1057" s="19"/>
      <c r="K1057" s="130"/>
      <c r="L1057" s="16"/>
      <c r="M1057" s="19"/>
    </row>
    <row r="1058" spans="4:13" ht="12" customHeight="1">
      <c r="D1058" s="128"/>
      <c r="E1058" s="24"/>
      <c r="F1058" s="38"/>
      <c r="G1058" s="38"/>
      <c r="H1058" s="38"/>
      <c r="I1058" s="16"/>
      <c r="J1058" s="19"/>
      <c r="K1058" s="130"/>
      <c r="L1058" s="16"/>
      <c r="M1058" s="19"/>
    </row>
    <row r="1059" spans="4:13" ht="12" customHeight="1">
      <c r="D1059" s="128"/>
      <c r="E1059" s="24"/>
      <c r="F1059" s="38"/>
      <c r="G1059" s="38"/>
      <c r="H1059" s="38"/>
      <c r="I1059" s="16"/>
      <c r="J1059" s="19"/>
      <c r="K1059" s="130"/>
      <c r="L1059" s="16"/>
      <c r="M1059" s="19"/>
    </row>
    <row r="1060" spans="4:13" ht="12" customHeight="1">
      <c r="D1060" s="128"/>
      <c r="E1060" s="24"/>
      <c r="F1060" s="38"/>
      <c r="G1060" s="38"/>
      <c r="H1060" s="38"/>
      <c r="I1060" s="16"/>
      <c r="J1060" s="19"/>
      <c r="K1060" s="130"/>
      <c r="L1060" s="16"/>
      <c r="M1060" s="19"/>
    </row>
    <row r="1061" spans="4:13" ht="12" customHeight="1">
      <c r="D1061" s="128"/>
      <c r="E1061" s="24"/>
      <c r="F1061" s="38"/>
      <c r="G1061" s="38"/>
      <c r="H1061" s="38"/>
      <c r="I1061" s="16"/>
      <c r="J1061" s="19"/>
      <c r="K1061" s="130"/>
      <c r="L1061" s="16"/>
      <c r="M1061" s="19"/>
    </row>
    <row r="1062" spans="4:13" ht="12" customHeight="1">
      <c r="D1062" s="128"/>
      <c r="E1062" s="24"/>
      <c r="F1062" s="38"/>
      <c r="G1062" s="38"/>
      <c r="H1062" s="38"/>
      <c r="I1062" s="16"/>
      <c r="J1062" s="19"/>
      <c r="K1062" s="130"/>
      <c r="L1062" s="16"/>
      <c r="M1062" s="19"/>
    </row>
    <row r="1063" spans="4:13" ht="12" customHeight="1">
      <c r="D1063" s="128"/>
      <c r="E1063" s="24"/>
      <c r="F1063" s="38"/>
      <c r="G1063" s="38"/>
      <c r="H1063" s="38"/>
      <c r="I1063" s="16"/>
      <c r="J1063" s="19"/>
      <c r="K1063" s="130"/>
      <c r="L1063" s="16"/>
      <c r="M1063" s="19"/>
    </row>
    <row r="1064" spans="4:13" ht="12" customHeight="1">
      <c r="D1064" s="128"/>
      <c r="E1064" s="24"/>
      <c r="F1064" s="38"/>
      <c r="G1064" s="38"/>
      <c r="H1064" s="38"/>
      <c r="I1064" s="16"/>
      <c r="J1064" s="19"/>
      <c r="K1064" s="130"/>
      <c r="L1064" s="16"/>
      <c r="M1064" s="19"/>
    </row>
    <row r="1065" spans="4:13" ht="12" customHeight="1">
      <c r="D1065" s="128"/>
      <c r="E1065" s="24"/>
      <c r="F1065" s="38"/>
      <c r="G1065" s="38"/>
      <c r="H1065" s="38"/>
      <c r="I1065" s="16"/>
      <c r="J1065" s="19"/>
      <c r="K1065" s="130"/>
      <c r="L1065" s="16"/>
      <c r="M1065" s="19"/>
    </row>
    <row r="1066" spans="4:13" ht="12" customHeight="1">
      <c r="D1066" s="128"/>
      <c r="E1066" s="24"/>
      <c r="F1066" s="38"/>
      <c r="G1066" s="38"/>
      <c r="H1066" s="38"/>
      <c r="I1066" s="16"/>
      <c r="J1066" s="19"/>
      <c r="K1066" s="130"/>
      <c r="L1066" s="16"/>
      <c r="M1066" s="19"/>
    </row>
    <row r="1067" spans="4:13" ht="12">
      <c r="D1067" s="4"/>
      <c r="I1067" s="6"/>
      <c r="J1067" s="25"/>
      <c r="K1067" s="89"/>
      <c r="L1067" s="6"/>
      <c r="M1067" s="25"/>
    </row>
    <row r="1068" spans="4:13" ht="12">
      <c r="D1068" s="4"/>
      <c r="I1068" s="6"/>
      <c r="J1068" s="25"/>
      <c r="K1068" s="89"/>
      <c r="L1068" s="6"/>
      <c r="M1068" s="25"/>
    </row>
    <row r="1069" spans="4:13" ht="12">
      <c r="D1069" s="4"/>
      <c r="I1069" s="6"/>
      <c r="J1069" s="25"/>
      <c r="K1069" s="89"/>
      <c r="L1069" s="6"/>
      <c r="M1069" s="25"/>
    </row>
    <row r="1070" spans="4:13" ht="12">
      <c r="D1070" s="4"/>
      <c r="I1070" s="6"/>
      <c r="J1070" s="25"/>
      <c r="K1070" s="89"/>
      <c r="L1070" s="6"/>
      <c r="M1070" s="25"/>
    </row>
    <row r="1071" spans="4:13" ht="12">
      <c r="D1071" s="4"/>
      <c r="I1071" s="6"/>
      <c r="J1071" s="25"/>
      <c r="K1071" s="89"/>
      <c r="L1071" s="6"/>
      <c r="M1071" s="25"/>
    </row>
    <row r="1072" spans="4:13" ht="12">
      <c r="D1072" s="4"/>
      <c r="I1072" s="6"/>
      <c r="J1072" s="25"/>
      <c r="K1072" s="89"/>
      <c r="L1072" s="6"/>
      <c r="M1072" s="25"/>
    </row>
    <row r="1073" spans="4:13" ht="12">
      <c r="D1073" s="4"/>
      <c r="I1073" s="6"/>
      <c r="J1073" s="25"/>
      <c r="K1073" s="89"/>
      <c r="L1073" s="6"/>
      <c r="M1073" s="25"/>
    </row>
    <row r="1074" spans="4:13" ht="12">
      <c r="D1074" s="4"/>
      <c r="I1074" s="6"/>
      <c r="J1074" s="25"/>
      <c r="K1074" s="89"/>
      <c r="L1074" s="6"/>
      <c r="M1074" s="25"/>
    </row>
    <row r="1075" spans="4:13" ht="12">
      <c r="D1075" s="4"/>
      <c r="I1075" s="6"/>
      <c r="J1075" s="25"/>
      <c r="K1075" s="89"/>
      <c r="L1075" s="6"/>
      <c r="M1075" s="25"/>
    </row>
    <row r="1076" spans="4:13" ht="12">
      <c r="D1076" s="4"/>
      <c r="I1076" s="6"/>
      <c r="J1076" s="25"/>
      <c r="K1076" s="89"/>
      <c r="L1076" s="6"/>
      <c r="M1076" s="25"/>
    </row>
    <row r="1077" spans="4:13" ht="12">
      <c r="D1077" s="4"/>
      <c r="I1077" s="6"/>
      <c r="J1077" s="25"/>
      <c r="K1077" s="89"/>
      <c r="L1077" s="6"/>
      <c r="M1077" s="25"/>
    </row>
    <row r="1078" spans="4:13" ht="12">
      <c r="D1078" s="4"/>
      <c r="I1078" s="6"/>
      <c r="J1078" s="25"/>
      <c r="K1078" s="89"/>
      <c r="L1078" s="6"/>
      <c r="M1078" s="25"/>
    </row>
    <row r="1079" spans="4:13" ht="12">
      <c r="D1079" s="4"/>
      <c r="I1079" s="6"/>
      <c r="J1079" s="25"/>
      <c r="K1079" s="89"/>
      <c r="L1079" s="6"/>
      <c r="M1079" s="25"/>
    </row>
    <row r="1080" spans="4:13" ht="12">
      <c r="D1080" s="4"/>
      <c r="I1080" s="6"/>
      <c r="J1080" s="25"/>
      <c r="K1080" s="89"/>
      <c r="L1080" s="6"/>
      <c r="M1080" s="25"/>
    </row>
    <row r="1081" spans="4:13" ht="12">
      <c r="D1081" s="4"/>
      <c r="I1081" s="6"/>
      <c r="J1081" s="25"/>
      <c r="K1081" s="89"/>
      <c r="L1081" s="6"/>
      <c r="M1081" s="25"/>
    </row>
    <row r="1082" spans="4:13" ht="12">
      <c r="D1082" s="4"/>
      <c r="I1082" s="6"/>
      <c r="J1082" s="25"/>
      <c r="K1082" s="89"/>
      <c r="L1082" s="6"/>
      <c r="M1082" s="25"/>
    </row>
    <row r="1083" spans="4:13" ht="12">
      <c r="D1083" s="4"/>
      <c r="I1083" s="6"/>
      <c r="J1083" s="25"/>
      <c r="K1083" s="89"/>
      <c r="L1083" s="6"/>
      <c r="M1083" s="25"/>
    </row>
    <row r="1084" spans="4:13" ht="12">
      <c r="D1084" s="4"/>
      <c r="I1084" s="6"/>
      <c r="J1084" s="25"/>
      <c r="K1084" s="89"/>
      <c r="L1084" s="6"/>
      <c r="M1084" s="25"/>
    </row>
    <row r="1085" spans="4:13" ht="12">
      <c r="D1085" s="4"/>
      <c r="I1085" s="6"/>
      <c r="J1085" s="25"/>
      <c r="K1085" s="89"/>
      <c r="L1085" s="6"/>
      <c r="M1085" s="25"/>
    </row>
    <row r="1086" spans="4:13" ht="12">
      <c r="D1086" s="4"/>
      <c r="I1086" s="6"/>
      <c r="J1086" s="25"/>
      <c r="K1086" s="89"/>
      <c r="L1086" s="6"/>
      <c r="M1086" s="25"/>
    </row>
    <row r="1087" spans="4:13" ht="12">
      <c r="D1087" s="4"/>
      <c r="I1087" s="6"/>
      <c r="J1087" s="25"/>
      <c r="K1087" s="89"/>
      <c r="L1087" s="6"/>
      <c r="M1087" s="25"/>
    </row>
    <row r="1088" spans="4:13" ht="12">
      <c r="D1088" s="4"/>
      <c r="I1088" s="6"/>
      <c r="J1088" s="25"/>
      <c r="K1088" s="89"/>
      <c r="L1088" s="6"/>
      <c r="M1088" s="25"/>
    </row>
    <row r="1089" spans="4:13" ht="12">
      <c r="D1089" s="4"/>
      <c r="I1089" s="6"/>
      <c r="J1089" s="25"/>
      <c r="K1089" s="89"/>
      <c r="L1089" s="6"/>
      <c r="M1089" s="25"/>
    </row>
    <row r="1090" spans="4:13" ht="12">
      <c r="D1090" s="4"/>
      <c r="I1090" s="6"/>
      <c r="J1090" s="25"/>
      <c r="K1090" s="89"/>
      <c r="L1090" s="6"/>
      <c r="M1090" s="25"/>
    </row>
    <row r="1091" spans="4:13" ht="12">
      <c r="D1091" s="4"/>
      <c r="I1091" s="6"/>
      <c r="J1091" s="25"/>
      <c r="K1091" s="89"/>
      <c r="L1091" s="6"/>
      <c r="M1091" s="25"/>
    </row>
    <row r="1130" spans="4:13" ht="12">
      <c r="D1130" s="1"/>
      <c r="F1130" s="38"/>
      <c r="G1130" s="38"/>
      <c r="H1130" s="38"/>
      <c r="I1130" s="6"/>
      <c r="J1130" s="25"/>
      <c r="L1130" s="6"/>
      <c r="M1130" s="25"/>
    </row>
  </sheetData>
  <sheetProtection/>
  <mergeCells count="28">
    <mergeCell ref="A41:M41"/>
    <mergeCell ref="A603:M603"/>
    <mergeCell ref="A174:M174"/>
    <mergeCell ref="A83:M83"/>
    <mergeCell ref="B322:M322"/>
    <mergeCell ref="A126:M126"/>
    <mergeCell ref="A226:M226"/>
    <mergeCell ref="A565:M565"/>
    <mergeCell ref="A5:M5"/>
    <mergeCell ref="A8:M8"/>
    <mergeCell ref="A9:M9"/>
    <mergeCell ref="A20:M20"/>
    <mergeCell ref="A641:M641"/>
    <mergeCell ref="A986:M986"/>
    <mergeCell ref="A825:M825"/>
    <mergeCell ref="A715:M715"/>
    <mergeCell ref="A36:M36"/>
    <mergeCell ref="A528:M528"/>
    <mergeCell ref="D987:F987"/>
    <mergeCell ref="G989:H989"/>
    <mergeCell ref="I989:J989"/>
    <mergeCell ref="A678:M678"/>
    <mergeCell ref="A752:M752"/>
    <mergeCell ref="A876:M876"/>
    <mergeCell ref="L989:M989"/>
    <mergeCell ref="A789:M789"/>
    <mergeCell ref="A915:M915"/>
    <mergeCell ref="A951:M951"/>
  </mergeCells>
  <printOptions horizontalCentered="1"/>
  <pageMargins left="0.17" right="0.17" top="0.47" bottom="0.53" header="0.5" footer="0.24"/>
  <pageSetup fitToHeight="47" horizontalDpi="600" verticalDpi="600" orientation="landscape" scale="73" r:id="rId1"/>
  <rowBreaks count="25" manualBreakCount="25">
    <brk id="38" max="12" man="1"/>
    <brk id="80" max="12" man="1"/>
    <brk id="121" max="12" man="1"/>
    <brk id="171" max="12" man="1"/>
    <brk id="223" max="12" man="1"/>
    <brk id="272" max="12" man="1"/>
    <brk id="319" max="255" man="1"/>
    <brk id="368" max="12" man="1"/>
    <brk id="418" max="12" man="1"/>
    <brk id="455" max="12" man="1"/>
    <brk id="491" max="255" man="1"/>
    <brk id="524" max="12" man="1"/>
    <brk id="561" max="255" man="1"/>
    <brk id="600" max="12" man="1"/>
    <brk id="638" max="12" man="1"/>
    <brk id="675" max="12" man="1"/>
    <brk id="712" max="12" man="1"/>
    <brk id="749" max="12" man="1"/>
    <brk id="786" max="12" man="1"/>
    <brk id="822" max="12" man="1"/>
    <brk id="873" max="12" man="1"/>
    <brk id="912" max="12" man="1"/>
    <brk id="948" max="12" man="1"/>
    <brk id="983" max="12" man="1"/>
    <brk id="10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992"/>
  <sheetViews>
    <sheetView view="pageBreakPreview" zoomScale="75" zoomScaleSheetLayoutView="75" zoomScalePageLayoutView="0" workbookViewId="0" topLeftCell="A69">
      <selection activeCell="E101" sqref="E101"/>
    </sheetView>
  </sheetViews>
  <sheetFormatPr defaultColWidth="9.625" defaultRowHeight="12.75"/>
  <cols>
    <col min="1" max="1" width="5.625" style="5" customWidth="1"/>
    <col min="2" max="2" width="1.875" style="5" customWidth="1"/>
    <col min="3" max="3" width="33.25390625" style="5" customWidth="1"/>
    <col min="4" max="4" width="24.125" style="5" customWidth="1"/>
    <col min="5" max="6" width="8.125" style="5" customWidth="1"/>
    <col min="7" max="7" width="7.50390625" style="192" customWidth="1"/>
    <col min="8" max="8" width="13.75390625" style="192" customWidth="1"/>
    <col min="9" max="9" width="11.625" style="192" customWidth="1"/>
    <col min="10" max="10" width="12.625" style="192" customWidth="1"/>
    <col min="11" max="11" width="8.875" style="192" customWidth="1"/>
    <col min="12" max="12" width="8.625" style="192" customWidth="1"/>
    <col min="13" max="13" width="14.25390625" style="192" bestFit="1" customWidth="1"/>
    <col min="14" max="14" width="9.625" style="5" customWidth="1"/>
    <col min="15" max="15" width="9.625" style="33" customWidth="1"/>
    <col min="16" max="16" width="9.625" style="193" customWidth="1"/>
    <col min="17" max="16384" width="9.625" style="5" customWidth="1"/>
  </cols>
  <sheetData>
    <row r="2" ht="12">
      <c r="M2" s="372" t="s">
        <v>158</v>
      </c>
    </row>
    <row r="3" ht="12">
      <c r="M3" s="208" t="s">
        <v>288</v>
      </c>
    </row>
    <row r="5" spans="1:13" ht="45">
      <c r="A5" s="424" t="s">
        <v>157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</row>
    <row r="8" spans="1:16" s="67" customFormat="1" ht="33">
      <c r="A8" s="425" t="s">
        <v>476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O8" s="373"/>
      <c r="P8" s="374"/>
    </row>
    <row r="9" spans="1:16" s="67" customFormat="1" ht="33">
      <c r="A9" s="425" t="s">
        <v>286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O9" s="373"/>
      <c r="P9" s="374"/>
    </row>
    <row r="20" spans="1:13" ht="45">
      <c r="A20" s="426" t="s">
        <v>568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</row>
    <row r="31" ht="11.25" customHeight="1"/>
    <row r="32" ht="12" hidden="1"/>
    <row r="38" spans="1:13" ht="27">
      <c r="A38" s="427" t="s">
        <v>287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</row>
    <row r="39" spans="7:16" ht="12">
      <c r="G39" s="5"/>
      <c r="H39" s="5"/>
      <c r="I39" s="48"/>
      <c r="J39" s="17"/>
      <c r="K39" s="5"/>
      <c r="L39" s="48"/>
      <c r="M39" s="17"/>
      <c r="O39" s="5"/>
      <c r="P39" s="5"/>
    </row>
    <row r="40" spans="1:16" ht="12">
      <c r="A40" s="41"/>
      <c r="C40" s="4"/>
      <c r="E40" s="41"/>
      <c r="F40" s="27"/>
      <c r="G40" s="27"/>
      <c r="H40" s="27"/>
      <c r="I40" s="39"/>
      <c r="J40" s="40"/>
      <c r="K40" s="27"/>
      <c r="L40" s="39"/>
      <c r="M40" s="40"/>
      <c r="O40" s="5"/>
      <c r="P40" s="5"/>
    </row>
    <row r="41" spans="1:16" ht="12">
      <c r="A41" s="68"/>
      <c r="G41" s="5"/>
      <c r="H41" s="5"/>
      <c r="I41" s="6"/>
      <c r="J41" s="17"/>
      <c r="K41" s="5"/>
      <c r="L41" s="48"/>
      <c r="M41" s="69" t="s">
        <v>127</v>
      </c>
      <c r="O41" s="5"/>
      <c r="P41" s="5"/>
    </row>
    <row r="42" spans="1:16" ht="12">
      <c r="A42" s="422" t="s">
        <v>126</v>
      </c>
      <c r="B42" s="422"/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O42" s="5"/>
      <c r="P42" s="5"/>
    </row>
    <row r="43" spans="1:16" ht="12">
      <c r="A43" s="70" t="s">
        <v>645</v>
      </c>
      <c r="G43" s="5"/>
      <c r="H43" s="5"/>
      <c r="I43" s="6"/>
      <c r="J43" s="17"/>
      <c r="K43" s="71"/>
      <c r="L43" s="6"/>
      <c r="M43" s="72" t="str">
        <f>$M$3</f>
        <v>Date: 10/1/2007</v>
      </c>
      <c r="O43" s="5"/>
      <c r="P43" s="5"/>
    </row>
    <row r="44" spans="1:16" ht="12">
      <c r="A44" s="15" t="s">
        <v>1</v>
      </c>
      <c r="B44" s="15" t="s">
        <v>1</v>
      </c>
      <c r="C44" s="15" t="s">
        <v>1</v>
      </c>
      <c r="D44" s="15" t="s">
        <v>1</v>
      </c>
      <c r="E44" s="15" t="s">
        <v>1</v>
      </c>
      <c r="F44" s="15" t="s">
        <v>1</v>
      </c>
      <c r="G44" s="15"/>
      <c r="H44" s="15"/>
      <c r="I44" s="16" t="s">
        <v>1</v>
      </c>
      <c r="J44" s="19" t="s">
        <v>1</v>
      </c>
      <c r="K44" s="15" t="s">
        <v>1</v>
      </c>
      <c r="L44" s="16" t="s">
        <v>1</v>
      </c>
      <c r="M44" s="19" t="s">
        <v>1</v>
      </c>
      <c r="O44" s="5"/>
      <c r="P44" s="5"/>
    </row>
    <row r="45" spans="1:16" ht="12">
      <c r="A45" s="73" t="s">
        <v>2</v>
      </c>
      <c r="C45" s="4" t="s">
        <v>3</v>
      </c>
      <c r="E45" s="73" t="s">
        <v>2</v>
      </c>
      <c r="F45" s="1"/>
      <c r="G45" s="1"/>
      <c r="H45" s="1" t="s">
        <v>172</v>
      </c>
      <c r="I45" s="2"/>
      <c r="J45" s="3" t="s">
        <v>280</v>
      </c>
      <c r="K45" s="1"/>
      <c r="L45" s="2"/>
      <c r="M45" s="3" t="s">
        <v>289</v>
      </c>
      <c r="O45" s="5"/>
      <c r="P45" s="5"/>
    </row>
    <row r="46" spans="1:16" ht="12">
      <c r="A46" s="73" t="s">
        <v>4</v>
      </c>
      <c r="C46" s="74" t="s">
        <v>5</v>
      </c>
      <c r="E46" s="73" t="s">
        <v>4</v>
      </c>
      <c r="F46" s="1"/>
      <c r="G46" s="1" t="s">
        <v>21</v>
      </c>
      <c r="H46" s="1" t="s">
        <v>7</v>
      </c>
      <c r="I46" s="2" t="s">
        <v>6</v>
      </c>
      <c r="J46" s="3" t="s">
        <v>7</v>
      </c>
      <c r="K46" s="1"/>
      <c r="L46" s="2" t="s">
        <v>6</v>
      </c>
      <c r="M46" s="3" t="s">
        <v>8</v>
      </c>
      <c r="O46" s="5"/>
      <c r="P46" s="5"/>
    </row>
    <row r="47" spans="1:16" ht="12">
      <c r="A47" s="15" t="s">
        <v>1</v>
      </c>
      <c r="B47" s="15" t="s">
        <v>1</v>
      </c>
      <c r="C47" s="15" t="s">
        <v>1</v>
      </c>
      <c r="D47" s="15" t="s">
        <v>1</v>
      </c>
      <c r="E47" s="15" t="s">
        <v>1</v>
      </c>
      <c r="F47" s="15" t="s">
        <v>1</v>
      </c>
      <c r="G47" s="15"/>
      <c r="H47" s="15"/>
      <c r="I47" s="16" t="s">
        <v>1</v>
      </c>
      <c r="J47" s="19" t="s">
        <v>1</v>
      </c>
      <c r="K47" s="15" t="s">
        <v>1</v>
      </c>
      <c r="L47" s="16" t="s">
        <v>1</v>
      </c>
      <c r="M47" s="19" t="s">
        <v>1</v>
      </c>
      <c r="O47" s="5"/>
      <c r="P47" s="5"/>
    </row>
    <row r="48" spans="1:16" ht="12">
      <c r="A48" s="41">
        <v>1</v>
      </c>
      <c r="C48" s="4" t="s">
        <v>9</v>
      </c>
      <c r="D48" s="14" t="s">
        <v>117</v>
      </c>
      <c r="E48" s="41">
        <v>1</v>
      </c>
      <c r="G48" s="43">
        <v>0</v>
      </c>
      <c r="H48" s="43">
        <v>0</v>
      </c>
      <c r="I48" s="63">
        <v>0</v>
      </c>
      <c r="J48" s="63">
        <v>0</v>
      </c>
      <c r="K48" s="43"/>
      <c r="L48" s="63">
        <v>0</v>
      </c>
      <c r="M48" s="63">
        <v>0</v>
      </c>
      <c r="O48" s="5"/>
      <c r="P48" s="5"/>
    </row>
    <row r="49" spans="1:13" s="5" customFormat="1" ht="12">
      <c r="A49" s="41">
        <v>2</v>
      </c>
      <c r="C49" s="4" t="s">
        <v>10</v>
      </c>
      <c r="D49" s="14" t="s">
        <v>118</v>
      </c>
      <c r="E49" s="41">
        <v>2</v>
      </c>
      <c r="G49" s="43">
        <v>0</v>
      </c>
      <c r="H49" s="43">
        <v>0</v>
      </c>
      <c r="I49" s="63">
        <v>0</v>
      </c>
      <c r="J49" s="63">
        <v>0</v>
      </c>
      <c r="K49" s="43"/>
      <c r="L49" s="63">
        <v>0</v>
      </c>
      <c r="M49" s="63">
        <v>0</v>
      </c>
    </row>
    <row r="50" spans="1:13" s="5" customFormat="1" ht="12">
      <c r="A50" s="41">
        <v>3</v>
      </c>
      <c r="C50" s="4" t="s">
        <v>11</v>
      </c>
      <c r="D50" s="14" t="s">
        <v>119</v>
      </c>
      <c r="E50" s="41">
        <v>3</v>
      </c>
      <c r="G50" s="43">
        <v>0</v>
      </c>
      <c r="H50" s="43">
        <v>0</v>
      </c>
      <c r="I50" s="63">
        <v>0</v>
      </c>
      <c r="J50" s="63">
        <v>0</v>
      </c>
      <c r="K50" s="43"/>
      <c r="L50" s="63">
        <v>0</v>
      </c>
      <c r="M50" s="63">
        <v>0</v>
      </c>
    </row>
    <row r="51" spans="1:13" s="5" customFormat="1" ht="12">
      <c r="A51" s="41">
        <v>4</v>
      </c>
      <c r="C51" s="4" t="s">
        <v>12</v>
      </c>
      <c r="D51" s="14" t="s">
        <v>120</v>
      </c>
      <c r="E51" s="41">
        <v>4</v>
      </c>
      <c r="G51" s="43">
        <v>0</v>
      </c>
      <c r="H51" s="43">
        <v>0</v>
      </c>
      <c r="I51" s="63">
        <v>0</v>
      </c>
      <c r="J51" s="63">
        <v>0</v>
      </c>
      <c r="K51" s="43"/>
      <c r="L51" s="63">
        <v>0</v>
      </c>
      <c r="M51" s="63">
        <v>0</v>
      </c>
    </row>
    <row r="52" spans="1:13" s="5" customFormat="1" ht="12">
      <c r="A52" s="41">
        <v>5</v>
      </c>
      <c r="C52" s="4" t="s">
        <v>13</v>
      </c>
      <c r="D52" s="14" t="s">
        <v>121</v>
      </c>
      <c r="E52" s="41">
        <v>5</v>
      </c>
      <c r="G52" s="43">
        <v>0</v>
      </c>
      <c r="H52" s="43">
        <v>0</v>
      </c>
      <c r="I52" s="63">
        <v>0</v>
      </c>
      <c r="J52" s="63">
        <v>0</v>
      </c>
      <c r="K52" s="43"/>
      <c r="L52" s="63">
        <v>0</v>
      </c>
      <c r="M52" s="63">
        <v>0</v>
      </c>
    </row>
    <row r="53" spans="1:13" s="5" customFormat="1" ht="12">
      <c r="A53" s="41">
        <v>6</v>
      </c>
      <c r="C53" s="4" t="s">
        <v>14</v>
      </c>
      <c r="D53" s="14" t="s">
        <v>122</v>
      </c>
      <c r="E53" s="41">
        <v>6</v>
      </c>
      <c r="G53" s="43">
        <v>0</v>
      </c>
      <c r="H53" s="43">
        <v>0</v>
      </c>
      <c r="I53" s="63">
        <v>0</v>
      </c>
      <c r="J53" s="63">
        <v>0</v>
      </c>
      <c r="K53" s="43"/>
      <c r="L53" s="63">
        <v>0</v>
      </c>
      <c r="M53" s="63">
        <v>0</v>
      </c>
    </row>
    <row r="54" spans="1:13" s="5" customFormat="1" ht="12">
      <c r="A54" s="41">
        <v>7</v>
      </c>
      <c r="C54" s="4" t="s">
        <v>59</v>
      </c>
      <c r="D54" s="14" t="s">
        <v>123</v>
      </c>
      <c r="E54" s="41">
        <v>7</v>
      </c>
      <c r="G54" s="43">
        <v>0</v>
      </c>
      <c r="H54" s="43">
        <v>0</v>
      </c>
      <c r="I54" s="63">
        <v>0</v>
      </c>
      <c r="J54" s="63">
        <v>0</v>
      </c>
      <c r="K54" s="43"/>
      <c r="L54" s="63">
        <v>0</v>
      </c>
      <c r="M54" s="63">
        <v>0</v>
      </c>
    </row>
    <row r="55" spans="1:13" s="5" customFormat="1" ht="12">
      <c r="A55" s="41">
        <v>8</v>
      </c>
      <c r="C55" s="4" t="s">
        <v>15</v>
      </c>
      <c r="D55" s="14" t="s">
        <v>124</v>
      </c>
      <c r="E55" s="41">
        <v>8</v>
      </c>
      <c r="G55" s="43">
        <v>0</v>
      </c>
      <c r="H55" s="43">
        <v>0</v>
      </c>
      <c r="I55" s="63">
        <v>0</v>
      </c>
      <c r="J55" s="63">
        <v>0</v>
      </c>
      <c r="K55" s="43"/>
      <c r="L55" s="63">
        <v>0</v>
      </c>
      <c r="M55" s="63">
        <v>0</v>
      </c>
    </row>
    <row r="56" spans="1:13" s="5" customFormat="1" ht="12">
      <c r="A56" s="41">
        <v>9</v>
      </c>
      <c r="C56" s="4" t="s">
        <v>101</v>
      </c>
      <c r="D56" s="14" t="s">
        <v>125</v>
      </c>
      <c r="E56" s="41">
        <v>9</v>
      </c>
      <c r="G56" s="43">
        <v>0</v>
      </c>
      <c r="H56" s="43">
        <v>0</v>
      </c>
      <c r="I56" s="63">
        <v>0</v>
      </c>
      <c r="J56" s="63">
        <v>0</v>
      </c>
      <c r="K56" s="43"/>
      <c r="L56" s="63">
        <v>0</v>
      </c>
      <c r="M56" s="63">
        <v>0</v>
      </c>
    </row>
    <row r="57" spans="1:13" s="5" customFormat="1" ht="12">
      <c r="A57" s="41">
        <v>10</v>
      </c>
      <c r="C57" s="4" t="s">
        <v>16</v>
      </c>
      <c r="D57" s="14" t="s">
        <v>100</v>
      </c>
      <c r="E57" s="41">
        <v>10</v>
      </c>
      <c r="G57" s="43">
        <v>0</v>
      </c>
      <c r="H57" s="43">
        <v>0</v>
      </c>
      <c r="I57" s="63">
        <v>0</v>
      </c>
      <c r="J57" s="63">
        <v>0</v>
      </c>
      <c r="K57" s="43"/>
      <c r="L57" s="63">
        <v>0</v>
      </c>
      <c r="M57" s="63">
        <v>0</v>
      </c>
    </row>
    <row r="58" spans="1:13" s="5" customFormat="1" ht="12">
      <c r="A58" s="41"/>
      <c r="C58" s="4"/>
      <c r="D58" s="14"/>
      <c r="E58" s="41"/>
      <c r="F58" s="15" t="s">
        <v>1</v>
      </c>
      <c r="G58" s="15"/>
      <c r="H58" s="15"/>
      <c r="I58" s="16" t="s">
        <v>1</v>
      </c>
      <c r="J58" s="19"/>
      <c r="K58" s="18"/>
      <c r="L58" s="16"/>
      <c r="M58" s="19"/>
    </row>
    <row r="59" spans="1:13" s="5" customFormat="1" ht="12">
      <c r="A59" s="5">
        <v>11</v>
      </c>
      <c r="C59" s="4" t="s">
        <v>265</v>
      </c>
      <c r="E59" s="5">
        <v>11</v>
      </c>
      <c r="G59" s="43">
        <f>SUM(G48:G57)</f>
        <v>0</v>
      </c>
      <c r="H59" s="43">
        <f>SUM(H48:H57)</f>
        <v>0</v>
      </c>
      <c r="I59" s="63">
        <f>SUM(I48:I57)</f>
        <v>0</v>
      </c>
      <c r="J59" s="63">
        <f>SUM(J48:J57)</f>
        <v>0</v>
      </c>
      <c r="K59" s="43"/>
      <c r="L59" s="63">
        <f>SUM(L48:L57)</f>
        <v>0</v>
      </c>
      <c r="M59" s="63">
        <f>SUM(M48:M57)</f>
        <v>0</v>
      </c>
    </row>
    <row r="60" spans="1:13" s="5" customFormat="1" ht="12">
      <c r="A60" s="41"/>
      <c r="E60" s="41"/>
      <c r="F60" s="15" t="s">
        <v>1</v>
      </c>
      <c r="G60" s="15"/>
      <c r="H60" s="15"/>
      <c r="I60" s="16" t="s">
        <v>1</v>
      </c>
      <c r="J60" s="19"/>
      <c r="K60" s="18"/>
      <c r="L60" s="16"/>
      <c r="M60" s="19"/>
    </row>
    <row r="61" spans="1:13" s="5" customFormat="1" ht="12">
      <c r="A61" s="41"/>
      <c r="E61" s="41"/>
      <c r="F61" s="15"/>
      <c r="G61" s="15"/>
      <c r="H61" s="15"/>
      <c r="I61" s="6"/>
      <c r="J61" s="19"/>
      <c r="K61" s="18"/>
      <c r="L61" s="6"/>
      <c r="M61" s="19"/>
    </row>
    <row r="62" spans="1:13" s="5" customFormat="1" ht="12">
      <c r="A62" s="5">
        <v>12</v>
      </c>
      <c r="C62" s="4" t="s">
        <v>17</v>
      </c>
      <c r="E62" s="5">
        <v>12</v>
      </c>
      <c r="G62" s="43"/>
      <c r="H62" s="43"/>
      <c r="I62" s="63"/>
      <c r="J62" s="63"/>
      <c r="K62" s="43"/>
      <c r="L62" s="63"/>
      <c r="M62" s="63"/>
    </row>
    <row r="63" spans="1:13" s="5" customFormat="1" ht="12">
      <c r="A63" s="41">
        <v>13</v>
      </c>
      <c r="C63" s="4" t="s">
        <v>226</v>
      </c>
      <c r="D63" s="14" t="s">
        <v>261</v>
      </c>
      <c r="E63" s="41">
        <v>13</v>
      </c>
      <c r="G63" s="43">
        <v>0</v>
      </c>
      <c r="H63" s="43">
        <v>0</v>
      </c>
      <c r="I63" s="43">
        <v>0</v>
      </c>
      <c r="J63" s="43">
        <v>0</v>
      </c>
      <c r="K63" s="43"/>
      <c r="L63" s="43">
        <v>0</v>
      </c>
      <c r="M63" s="43">
        <v>0</v>
      </c>
    </row>
    <row r="64" spans="1:13" s="5" customFormat="1" ht="12">
      <c r="A64" s="41">
        <v>14</v>
      </c>
      <c r="C64" s="4" t="s">
        <v>227</v>
      </c>
      <c r="D64" s="14" t="s">
        <v>262</v>
      </c>
      <c r="E64" s="41">
        <v>14</v>
      </c>
      <c r="G64" s="43">
        <v>0</v>
      </c>
      <c r="H64" s="43">
        <f>H195</f>
        <v>0</v>
      </c>
      <c r="I64" s="43">
        <v>0</v>
      </c>
      <c r="J64" s="43">
        <f>J195</f>
        <v>0</v>
      </c>
      <c r="K64" s="43"/>
      <c r="L64" s="43">
        <v>0</v>
      </c>
      <c r="M64" s="43">
        <f>M195</f>
        <v>0</v>
      </c>
    </row>
    <row r="65" spans="1:16" ht="12">
      <c r="A65" s="41">
        <v>15</v>
      </c>
      <c r="C65" s="4" t="s">
        <v>256</v>
      </c>
      <c r="D65" s="14"/>
      <c r="E65" s="41">
        <v>15</v>
      </c>
      <c r="G65" s="43"/>
      <c r="H65" s="43">
        <v>0</v>
      </c>
      <c r="I65" s="43"/>
      <c r="J65" s="43">
        <v>0</v>
      </c>
      <c r="K65" s="43"/>
      <c r="L65" s="43"/>
      <c r="M65" s="43">
        <v>0</v>
      </c>
      <c r="O65" s="5"/>
      <c r="P65" s="5"/>
    </row>
    <row r="66" spans="1:16" ht="12">
      <c r="A66" s="41">
        <v>16</v>
      </c>
      <c r="C66" s="4" t="s">
        <v>255</v>
      </c>
      <c r="D66" s="14"/>
      <c r="E66" s="41">
        <v>16</v>
      </c>
      <c r="G66" s="43"/>
      <c r="H66" s="43">
        <v>0</v>
      </c>
      <c r="I66" s="43"/>
      <c r="J66" s="43">
        <v>0</v>
      </c>
      <c r="K66" s="43"/>
      <c r="L66" s="43"/>
      <c r="M66" s="43">
        <v>0</v>
      </c>
      <c r="O66" s="5"/>
      <c r="P66" s="5"/>
    </row>
    <row r="67" spans="1:256" ht="12">
      <c r="A67" s="14">
        <v>17</v>
      </c>
      <c r="B67" s="14"/>
      <c r="C67" s="75" t="s">
        <v>257</v>
      </c>
      <c r="D67" s="14"/>
      <c r="E67" s="14">
        <v>17</v>
      </c>
      <c r="F67" s="14"/>
      <c r="G67" s="63">
        <v>0</v>
      </c>
      <c r="H67" s="63">
        <f>SUM(H65:H66)</f>
        <v>0</v>
      </c>
      <c r="I67" s="63">
        <v>0</v>
      </c>
      <c r="J67" s="63">
        <f>SUM(J65:J66)</f>
        <v>0</v>
      </c>
      <c r="K67" s="75"/>
      <c r="L67" s="63">
        <v>0</v>
      </c>
      <c r="M67" s="63">
        <f>SUM(M65:M66)</f>
        <v>0</v>
      </c>
      <c r="N67" s="14"/>
      <c r="O67" s="75"/>
      <c r="P67" s="14"/>
      <c r="Q67" s="75"/>
      <c r="R67" s="14"/>
      <c r="S67" s="75"/>
      <c r="T67" s="14"/>
      <c r="U67" s="75"/>
      <c r="V67" s="14"/>
      <c r="W67" s="75"/>
      <c r="X67" s="14"/>
      <c r="Y67" s="75"/>
      <c r="Z67" s="14"/>
      <c r="AA67" s="75"/>
      <c r="AB67" s="14"/>
      <c r="AC67" s="75"/>
      <c r="AD67" s="14"/>
      <c r="AE67" s="75"/>
      <c r="AF67" s="14"/>
      <c r="AG67" s="75"/>
      <c r="AH67" s="14"/>
      <c r="AI67" s="75"/>
      <c r="AJ67" s="14"/>
      <c r="AK67" s="75"/>
      <c r="AL67" s="14"/>
      <c r="AM67" s="75"/>
      <c r="AN67" s="14"/>
      <c r="AO67" s="75"/>
      <c r="AP67" s="14"/>
      <c r="AQ67" s="75"/>
      <c r="AR67" s="14"/>
      <c r="AS67" s="75"/>
      <c r="AT67" s="14"/>
      <c r="AU67" s="75"/>
      <c r="AV67" s="14"/>
      <c r="AW67" s="75"/>
      <c r="AX67" s="14"/>
      <c r="AY67" s="75"/>
      <c r="AZ67" s="14"/>
      <c r="BA67" s="75"/>
      <c r="BB67" s="14"/>
      <c r="BC67" s="75"/>
      <c r="BD67" s="14"/>
      <c r="BE67" s="75"/>
      <c r="BF67" s="14"/>
      <c r="BG67" s="75"/>
      <c r="BH67" s="14"/>
      <c r="BI67" s="75"/>
      <c r="BJ67" s="14"/>
      <c r="BK67" s="75"/>
      <c r="BL67" s="14"/>
      <c r="BM67" s="75"/>
      <c r="BN67" s="14"/>
      <c r="BO67" s="75"/>
      <c r="BP67" s="14"/>
      <c r="BQ67" s="75"/>
      <c r="BR67" s="14"/>
      <c r="BS67" s="75"/>
      <c r="BT67" s="14"/>
      <c r="BU67" s="75"/>
      <c r="BV67" s="14"/>
      <c r="BW67" s="75"/>
      <c r="BX67" s="14"/>
      <c r="BY67" s="75"/>
      <c r="BZ67" s="14"/>
      <c r="CA67" s="75"/>
      <c r="CB67" s="14"/>
      <c r="CC67" s="75"/>
      <c r="CD67" s="14"/>
      <c r="CE67" s="75"/>
      <c r="CF67" s="14"/>
      <c r="CG67" s="75"/>
      <c r="CH67" s="14"/>
      <c r="CI67" s="75"/>
      <c r="CJ67" s="14"/>
      <c r="CK67" s="75"/>
      <c r="CL67" s="14"/>
      <c r="CM67" s="75"/>
      <c r="CN67" s="14"/>
      <c r="CO67" s="75"/>
      <c r="CP67" s="14"/>
      <c r="CQ67" s="75"/>
      <c r="CR67" s="14"/>
      <c r="CS67" s="75"/>
      <c r="CT67" s="14"/>
      <c r="CU67" s="75"/>
      <c r="CV67" s="14"/>
      <c r="CW67" s="75"/>
      <c r="CX67" s="14"/>
      <c r="CY67" s="75"/>
      <c r="CZ67" s="14"/>
      <c r="DA67" s="75"/>
      <c r="DB67" s="14"/>
      <c r="DC67" s="75"/>
      <c r="DD67" s="14"/>
      <c r="DE67" s="75"/>
      <c r="DF67" s="14"/>
      <c r="DG67" s="75"/>
      <c r="DH67" s="14"/>
      <c r="DI67" s="75"/>
      <c r="DJ67" s="14"/>
      <c r="DK67" s="75"/>
      <c r="DL67" s="14"/>
      <c r="DM67" s="75"/>
      <c r="DN67" s="14"/>
      <c r="DO67" s="75"/>
      <c r="DP67" s="14"/>
      <c r="DQ67" s="75"/>
      <c r="DR67" s="14"/>
      <c r="DS67" s="75"/>
      <c r="DT67" s="14"/>
      <c r="DU67" s="75"/>
      <c r="DV67" s="14"/>
      <c r="DW67" s="75"/>
      <c r="DX67" s="14"/>
      <c r="DY67" s="75"/>
      <c r="DZ67" s="14"/>
      <c r="EA67" s="75"/>
      <c r="EB67" s="14"/>
      <c r="EC67" s="75"/>
      <c r="ED67" s="14"/>
      <c r="EE67" s="75"/>
      <c r="EF67" s="14"/>
      <c r="EG67" s="75"/>
      <c r="EH67" s="14"/>
      <c r="EI67" s="75"/>
      <c r="EJ67" s="14"/>
      <c r="EK67" s="75"/>
      <c r="EL67" s="14"/>
      <c r="EM67" s="75"/>
      <c r="EN67" s="14"/>
      <c r="EO67" s="75"/>
      <c r="EP67" s="14"/>
      <c r="EQ67" s="75"/>
      <c r="ER67" s="14"/>
      <c r="ES67" s="75"/>
      <c r="ET67" s="14"/>
      <c r="EU67" s="75"/>
      <c r="EV67" s="14"/>
      <c r="EW67" s="75"/>
      <c r="EX67" s="14"/>
      <c r="EY67" s="75"/>
      <c r="EZ67" s="14"/>
      <c r="FA67" s="75"/>
      <c r="FB67" s="14"/>
      <c r="FC67" s="75"/>
      <c r="FD67" s="14"/>
      <c r="FE67" s="75"/>
      <c r="FF67" s="14"/>
      <c r="FG67" s="75"/>
      <c r="FH67" s="14"/>
      <c r="FI67" s="75"/>
      <c r="FJ67" s="14"/>
      <c r="FK67" s="75"/>
      <c r="FL67" s="14"/>
      <c r="FM67" s="75"/>
      <c r="FN67" s="14"/>
      <c r="FO67" s="75"/>
      <c r="FP67" s="14"/>
      <c r="FQ67" s="75"/>
      <c r="FR67" s="14"/>
      <c r="FS67" s="75"/>
      <c r="FT67" s="14"/>
      <c r="FU67" s="75"/>
      <c r="FV67" s="14"/>
      <c r="FW67" s="75"/>
      <c r="FX67" s="14"/>
      <c r="FY67" s="75"/>
      <c r="FZ67" s="14"/>
      <c r="GA67" s="75"/>
      <c r="GB67" s="14"/>
      <c r="GC67" s="75"/>
      <c r="GD67" s="14"/>
      <c r="GE67" s="75"/>
      <c r="GF67" s="14"/>
      <c r="GG67" s="75"/>
      <c r="GH67" s="14"/>
      <c r="GI67" s="75"/>
      <c r="GJ67" s="14"/>
      <c r="GK67" s="75"/>
      <c r="GL67" s="14"/>
      <c r="GM67" s="75"/>
      <c r="GN67" s="14"/>
      <c r="GO67" s="75"/>
      <c r="GP67" s="14"/>
      <c r="GQ67" s="75"/>
      <c r="GR67" s="14"/>
      <c r="GS67" s="75"/>
      <c r="GT67" s="14"/>
      <c r="GU67" s="75"/>
      <c r="GV67" s="14"/>
      <c r="GW67" s="75"/>
      <c r="GX67" s="14"/>
      <c r="GY67" s="75"/>
      <c r="GZ67" s="14"/>
      <c r="HA67" s="75"/>
      <c r="HB67" s="14"/>
      <c r="HC67" s="75"/>
      <c r="HD67" s="14"/>
      <c r="HE67" s="75"/>
      <c r="HF67" s="14"/>
      <c r="HG67" s="75"/>
      <c r="HH67" s="14"/>
      <c r="HI67" s="75"/>
      <c r="HJ67" s="14"/>
      <c r="HK67" s="75"/>
      <c r="HL67" s="14"/>
      <c r="HM67" s="75"/>
      <c r="HN67" s="14"/>
      <c r="HO67" s="75"/>
      <c r="HP67" s="14"/>
      <c r="HQ67" s="75"/>
      <c r="HR67" s="14"/>
      <c r="HS67" s="75"/>
      <c r="HT67" s="14"/>
      <c r="HU67" s="75"/>
      <c r="HV67" s="14"/>
      <c r="HW67" s="75"/>
      <c r="HX67" s="14"/>
      <c r="HY67" s="75"/>
      <c r="HZ67" s="14"/>
      <c r="IA67" s="75"/>
      <c r="IB67" s="14"/>
      <c r="IC67" s="75"/>
      <c r="ID67" s="14"/>
      <c r="IE67" s="75"/>
      <c r="IF67" s="14"/>
      <c r="IG67" s="75"/>
      <c r="IH67" s="14"/>
      <c r="II67" s="75"/>
      <c r="IJ67" s="14"/>
      <c r="IK67" s="75"/>
      <c r="IL67" s="14"/>
      <c r="IM67" s="75"/>
      <c r="IN67" s="14"/>
      <c r="IO67" s="75"/>
      <c r="IP67" s="14"/>
      <c r="IQ67" s="75"/>
      <c r="IR67" s="14"/>
      <c r="IS67" s="75"/>
      <c r="IT67" s="14"/>
      <c r="IU67" s="75"/>
      <c r="IV67" s="14"/>
    </row>
    <row r="68" spans="1:16" ht="12">
      <c r="A68" s="41">
        <v>18</v>
      </c>
      <c r="C68" s="4" t="s">
        <v>258</v>
      </c>
      <c r="D68" s="14"/>
      <c r="E68" s="41">
        <v>18</v>
      </c>
      <c r="G68" s="43">
        <v>0</v>
      </c>
      <c r="H68" s="43">
        <v>0</v>
      </c>
      <c r="I68" s="43">
        <v>0</v>
      </c>
      <c r="J68" s="43">
        <v>0</v>
      </c>
      <c r="K68" s="43"/>
      <c r="L68" s="43">
        <v>0</v>
      </c>
      <c r="M68" s="43">
        <v>0</v>
      </c>
      <c r="O68" s="5"/>
      <c r="P68" s="5"/>
    </row>
    <row r="69" spans="1:16" ht="12">
      <c r="A69" s="41">
        <v>19</v>
      </c>
      <c r="C69" s="4" t="s">
        <v>195</v>
      </c>
      <c r="D69" s="14"/>
      <c r="E69" s="41">
        <v>19</v>
      </c>
      <c r="G69" s="43">
        <v>0</v>
      </c>
      <c r="H69" s="43">
        <v>0</v>
      </c>
      <c r="I69" s="43">
        <v>0</v>
      </c>
      <c r="J69" s="43">
        <v>0</v>
      </c>
      <c r="K69" s="43"/>
      <c r="L69" s="43">
        <v>0</v>
      </c>
      <c r="M69" s="43">
        <v>0</v>
      </c>
      <c r="O69" s="5"/>
      <c r="P69" s="5"/>
    </row>
    <row r="70" spans="1:16" ht="12">
      <c r="A70" s="41">
        <v>20</v>
      </c>
      <c r="C70" s="4" t="s">
        <v>173</v>
      </c>
      <c r="D70" s="14"/>
      <c r="E70" s="41">
        <v>20</v>
      </c>
      <c r="G70" s="43">
        <v>0</v>
      </c>
      <c r="H70" s="43">
        <f>H67+H68+H69</f>
        <v>0</v>
      </c>
      <c r="I70" s="43">
        <v>0</v>
      </c>
      <c r="J70" s="43">
        <f>J67+J68+J69</f>
        <v>0</v>
      </c>
      <c r="K70" s="43"/>
      <c r="L70" s="43">
        <v>0</v>
      </c>
      <c r="M70" s="43">
        <f>M67+M68+M69</f>
        <v>0</v>
      </c>
      <c r="O70" s="5"/>
      <c r="P70" s="5"/>
    </row>
    <row r="71" spans="1:16" ht="12">
      <c r="A71" s="41">
        <v>21</v>
      </c>
      <c r="C71" s="4" t="s">
        <v>248</v>
      </c>
      <c r="D71" s="14"/>
      <c r="E71" s="41">
        <v>21</v>
      </c>
      <c r="G71" s="43">
        <v>0</v>
      </c>
      <c r="H71" s="43">
        <v>0</v>
      </c>
      <c r="I71" s="43">
        <v>0</v>
      </c>
      <c r="J71" s="43">
        <v>0</v>
      </c>
      <c r="K71" s="43"/>
      <c r="L71" s="43">
        <v>0</v>
      </c>
      <c r="M71" s="43">
        <v>0</v>
      </c>
      <c r="O71" s="5"/>
      <c r="P71" s="5"/>
    </row>
    <row r="72" spans="1:16" ht="12">
      <c r="A72" s="41">
        <v>22</v>
      </c>
      <c r="C72" s="7"/>
      <c r="E72" s="41">
        <v>22</v>
      </c>
      <c r="F72" s="15" t="s">
        <v>1</v>
      </c>
      <c r="G72" s="15"/>
      <c r="H72" s="15"/>
      <c r="I72" s="16"/>
      <c r="J72" s="19"/>
      <c r="K72" s="18"/>
      <c r="L72" s="16"/>
      <c r="M72" s="19"/>
      <c r="O72" s="5"/>
      <c r="P72" s="5"/>
    </row>
    <row r="73" spans="1:16" ht="12">
      <c r="A73" s="41">
        <v>23</v>
      </c>
      <c r="C73" s="5" t="s">
        <v>199</v>
      </c>
      <c r="D73" s="76"/>
      <c r="E73" s="41">
        <v>23</v>
      </c>
      <c r="F73" s="77"/>
      <c r="G73" s="78"/>
      <c r="H73" s="78">
        <f>SUM(H63,H64,H70)</f>
        <v>0</v>
      </c>
      <c r="I73" s="78"/>
      <c r="J73" s="78">
        <f>SUM(J63,J64,J70)</f>
        <v>0</v>
      </c>
      <c r="K73" s="78"/>
      <c r="L73" s="78"/>
      <c r="M73" s="78">
        <f>SUM(M63,M64,M70)</f>
        <v>0</v>
      </c>
      <c r="O73" s="5"/>
      <c r="P73" s="5"/>
    </row>
    <row r="74" spans="1:16" ht="12">
      <c r="A74" s="41">
        <v>24</v>
      </c>
      <c r="C74" s="7"/>
      <c r="D74" s="4"/>
      <c r="E74" s="41">
        <v>24</v>
      </c>
      <c r="G74" s="5"/>
      <c r="H74" s="5"/>
      <c r="I74" s="48"/>
      <c r="J74" s="17"/>
      <c r="K74" s="5"/>
      <c r="L74" s="48"/>
      <c r="M74" s="17"/>
      <c r="O74" s="5"/>
      <c r="P74" s="5"/>
    </row>
    <row r="75" spans="1:16" ht="12">
      <c r="A75" s="41">
        <v>25</v>
      </c>
      <c r="C75" s="4" t="s">
        <v>219</v>
      </c>
      <c r="D75" s="14"/>
      <c r="E75" s="41">
        <v>25</v>
      </c>
      <c r="G75" s="43"/>
      <c r="H75" s="43">
        <v>0</v>
      </c>
      <c r="I75" s="43"/>
      <c r="J75" s="43">
        <v>0</v>
      </c>
      <c r="K75" s="43"/>
      <c r="L75" s="43"/>
      <c r="M75" s="43">
        <v>0</v>
      </c>
      <c r="O75" s="5"/>
      <c r="P75" s="5"/>
    </row>
    <row r="76" spans="1:16" ht="12">
      <c r="A76" s="5">
        <v>26</v>
      </c>
      <c r="E76" s="5">
        <v>26</v>
      </c>
      <c r="F76" s="15" t="s">
        <v>1</v>
      </c>
      <c r="G76" s="15"/>
      <c r="H76" s="15"/>
      <c r="I76" s="16"/>
      <c r="J76" s="19"/>
      <c r="K76" s="18"/>
      <c r="L76" s="16"/>
      <c r="M76" s="19"/>
      <c r="O76" s="5"/>
      <c r="P76" s="5"/>
    </row>
    <row r="77" spans="1:16" ht="12">
      <c r="A77" s="41">
        <v>27</v>
      </c>
      <c r="C77" s="4" t="s">
        <v>266</v>
      </c>
      <c r="E77" s="41">
        <v>27</v>
      </c>
      <c r="F77" s="71"/>
      <c r="G77" s="63"/>
      <c r="H77" s="63">
        <f>SUM(H73,H75)</f>
        <v>0</v>
      </c>
      <c r="I77" s="63"/>
      <c r="J77" s="63">
        <f>SUM(J73,J75)</f>
        <v>0</v>
      </c>
      <c r="K77" s="63"/>
      <c r="L77" s="63"/>
      <c r="M77" s="63">
        <f>SUM(M73,M75)</f>
        <v>0</v>
      </c>
      <c r="O77" s="5"/>
      <c r="P77" s="5"/>
    </row>
    <row r="78" spans="6:16" ht="12">
      <c r="F78" s="15"/>
      <c r="G78" s="15"/>
      <c r="H78" s="15"/>
      <c r="I78" s="16"/>
      <c r="J78" s="19"/>
      <c r="K78" s="18"/>
      <c r="L78" s="16"/>
      <c r="M78" s="19"/>
      <c r="O78" s="5"/>
      <c r="P78" s="5"/>
    </row>
    <row r="79" spans="6:16" ht="12">
      <c r="F79" s="15"/>
      <c r="G79" s="15"/>
      <c r="H79" s="15"/>
      <c r="I79" s="16"/>
      <c r="J79" s="19"/>
      <c r="K79" s="18"/>
      <c r="L79" s="16"/>
      <c r="M79" s="19"/>
      <c r="O79" s="5"/>
      <c r="P79" s="5"/>
    </row>
    <row r="80" spans="3:16" ht="12">
      <c r="C80" s="5" t="s">
        <v>102</v>
      </c>
      <c r="D80" s="14"/>
      <c r="F80" s="15"/>
      <c r="G80" s="15"/>
      <c r="H80" s="15"/>
      <c r="I80" s="16"/>
      <c r="J80" s="17"/>
      <c r="K80" s="18"/>
      <c r="L80" s="16"/>
      <c r="M80" s="19"/>
      <c r="O80" s="5"/>
      <c r="P80" s="5"/>
    </row>
    <row r="82" spans="1:13" ht="12">
      <c r="A82" s="70" t="s">
        <v>569</v>
      </c>
      <c r="G82" s="86"/>
      <c r="I82" s="86"/>
      <c r="M82" s="212" t="s">
        <v>18</v>
      </c>
    </row>
    <row r="83" spans="1:16" s="21" customFormat="1" ht="12">
      <c r="A83" s="422" t="s">
        <v>19</v>
      </c>
      <c r="B83" s="422"/>
      <c r="C83" s="422"/>
      <c r="D83" s="422"/>
      <c r="E83" s="422"/>
      <c r="F83" s="422"/>
      <c r="G83" s="422"/>
      <c r="H83" s="422"/>
      <c r="I83" s="422"/>
      <c r="J83" s="422"/>
      <c r="K83" s="422"/>
      <c r="L83" s="422"/>
      <c r="M83" s="422"/>
      <c r="O83" s="375"/>
      <c r="P83" s="376"/>
    </row>
    <row r="84" spans="1:13" ht="12">
      <c r="A84" s="70" t="s">
        <v>570</v>
      </c>
      <c r="G84" s="86"/>
      <c r="I84" s="86"/>
      <c r="K84" s="86"/>
      <c r="L84" s="86"/>
      <c r="M84" s="213" t="str">
        <f>$M$3</f>
        <v>Date: 10/1/2007</v>
      </c>
    </row>
    <row r="85" spans="1:13" ht="12">
      <c r="A85" s="15" t="s">
        <v>1</v>
      </c>
      <c r="B85" s="15" t="s">
        <v>1</v>
      </c>
      <c r="C85" s="15" t="s">
        <v>1</v>
      </c>
      <c r="D85" s="15" t="s">
        <v>1</v>
      </c>
      <c r="E85" s="15" t="s">
        <v>1</v>
      </c>
      <c r="F85" s="15"/>
      <c r="G85" s="176" t="s">
        <v>1</v>
      </c>
      <c r="H85" s="176" t="s">
        <v>1</v>
      </c>
      <c r="I85" s="176" t="s">
        <v>1</v>
      </c>
      <c r="J85" s="176" t="s">
        <v>1</v>
      </c>
      <c r="K85" s="176" t="s">
        <v>1</v>
      </c>
      <c r="L85" s="176" t="s">
        <v>1</v>
      </c>
      <c r="M85" s="176" t="s">
        <v>1</v>
      </c>
    </row>
    <row r="86" spans="1:13" ht="12">
      <c r="A86" s="73" t="s">
        <v>2</v>
      </c>
      <c r="C86" s="4" t="s">
        <v>3</v>
      </c>
      <c r="E86" s="73" t="s">
        <v>2</v>
      </c>
      <c r="F86" s="73"/>
      <c r="G86" s="123"/>
      <c r="H86" s="123" t="s">
        <v>172</v>
      </c>
      <c r="I86" s="123"/>
      <c r="J86" s="123" t="s">
        <v>280</v>
      </c>
      <c r="K86" s="191"/>
      <c r="L86" s="123"/>
      <c r="M86" s="123" t="s">
        <v>289</v>
      </c>
    </row>
    <row r="87" spans="1:13" ht="12">
      <c r="A87" s="73">
        <v>7</v>
      </c>
      <c r="C87" s="74" t="s">
        <v>5</v>
      </c>
      <c r="E87" s="73" t="s">
        <v>4</v>
      </c>
      <c r="F87" s="73"/>
      <c r="G87" s="123" t="s">
        <v>6</v>
      </c>
      <c r="H87" s="123" t="s">
        <v>7</v>
      </c>
      <c r="I87" s="123" t="s">
        <v>6</v>
      </c>
      <c r="J87" s="123" t="s">
        <v>7</v>
      </c>
      <c r="K87" s="191"/>
      <c r="L87" s="123" t="s">
        <v>6</v>
      </c>
      <c r="M87" s="123" t="s">
        <v>8</v>
      </c>
    </row>
    <row r="88" spans="1:13" ht="12">
      <c r="A88" s="15" t="s">
        <v>1</v>
      </c>
      <c r="B88" s="15" t="s">
        <v>1</v>
      </c>
      <c r="C88" s="15" t="s">
        <v>1</v>
      </c>
      <c r="D88" s="15" t="s">
        <v>1</v>
      </c>
      <c r="E88" s="15" t="s">
        <v>1</v>
      </c>
      <c r="F88" s="15"/>
      <c r="G88" s="176" t="s">
        <v>1</v>
      </c>
      <c r="H88" s="176" t="s">
        <v>1</v>
      </c>
      <c r="I88" s="176" t="s">
        <v>1</v>
      </c>
      <c r="J88" s="176" t="s">
        <v>1</v>
      </c>
      <c r="K88" s="176" t="s">
        <v>1</v>
      </c>
      <c r="L88" s="176" t="s">
        <v>1</v>
      </c>
      <c r="M88" s="176" t="s">
        <v>1</v>
      </c>
    </row>
    <row r="89" spans="1:16" ht="12">
      <c r="A89" s="41">
        <v>1</v>
      </c>
      <c r="C89" s="4" t="s">
        <v>9</v>
      </c>
      <c r="D89" s="14" t="s">
        <v>117</v>
      </c>
      <c r="E89" s="41">
        <v>1</v>
      </c>
      <c r="F89" s="41"/>
      <c r="G89" s="71">
        <f>G633</f>
        <v>683.1999999999999</v>
      </c>
      <c r="H89" s="86">
        <f>H633</f>
        <v>48922536</v>
      </c>
      <c r="I89" s="71">
        <f>I633</f>
        <v>741.1316201822156</v>
      </c>
      <c r="J89" s="86">
        <f>J633</f>
        <v>54344200</v>
      </c>
      <c r="L89" s="71">
        <f>L633</f>
        <v>726.56</v>
      </c>
      <c r="M89" s="86">
        <f>M633</f>
        <v>57797833</v>
      </c>
      <c r="N89" s="192"/>
      <c r="P89" s="377"/>
    </row>
    <row r="90" spans="1:16" ht="12">
      <c r="A90" s="41">
        <v>2</v>
      </c>
      <c r="C90" s="4" t="s">
        <v>10</v>
      </c>
      <c r="D90" s="14" t="s">
        <v>118</v>
      </c>
      <c r="E90" s="41">
        <v>2</v>
      </c>
      <c r="F90" s="41"/>
      <c r="G90" s="71">
        <f>G672</f>
        <v>10.69</v>
      </c>
      <c r="H90" s="86">
        <f>H672</f>
        <v>1154046</v>
      </c>
      <c r="I90" s="71">
        <f>I672</f>
        <v>0.13523723702907844</v>
      </c>
      <c r="J90" s="86">
        <f>J672</f>
        <v>41397</v>
      </c>
      <c r="L90" s="71">
        <f>L672</f>
        <v>0</v>
      </c>
      <c r="M90" s="86">
        <f>M672</f>
        <v>1072</v>
      </c>
      <c r="P90" s="377"/>
    </row>
    <row r="91" spans="1:16" ht="12">
      <c r="A91" s="41">
        <v>3</v>
      </c>
      <c r="C91" s="4" t="s">
        <v>11</v>
      </c>
      <c r="D91" s="14" t="s">
        <v>119</v>
      </c>
      <c r="E91" s="41">
        <v>3</v>
      </c>
      <c r="F91" s="41"/>
      <c r="G91" s="71">
        <f>G709</f>
        <v>1.52</v>
      </c>
      <c r="H91" s="86">
        <f>H709</f>
        <v>170600</v>
      </c>
      <c r="I91" s="71">
        <f>I709</f>
        <v>2.13392004023133</v>
      </c>
      <c r="J91" s="86">
        <f>J709</f>
        <v>231196</v>
      </c>
      <c r="L91" s="71">
        <f>L709</f>
        <v>1.87</v>
      </c>
      <c r="M91" s="86">
        <f>M709</f>
        <v>128959</v>
      </c>
      <c r="P91" s="377"/>
    </row>
    <row r="92" spans="1:16" ht="12">
      <c r="A92" s="41">
        <v>4</v>
      </c>
      <c r="C92" s="4" t="s">
        <v>12</v>
      </c>
      <c r="D92" s="14" t="s">
        <v>120</v>
      </c>
      <c r="E92" s="41">
        <v>4</v>
      </c>
      <c r="F92" s="41"/>
      <c r="G92" s="71">
        <f>G746</f>
        <v>170.49</v>
      </c>
      <c r="H92" s="86">
        <f>H746</f>
        <v>12606510</v>
      </c>
      <c r="I92" s="71">
        <f>I746</f>
        <v>184.24131509443694</v>
      </c>
      <c r="J92" s="86">
        <f>J746</f>
        <v>14875192</v>
      </c>
      <c r="L92" s="71">
        <f>L746</f>
        <v>183.15</v>
      </c>
      <c r="M92" s="86">
        <f>M746</f>
        <v>15818537</v>
      </c>
      <c r="P92" s="377"/>
    </row>
    <row r="93" spans="1:16" ht="12">
      <c r="A93" s="41">
        <v>5</v>
      </c>
      <c r="C93" s="4" t="s">
        <v>13</v>
      </c>
      <c r="D93" s="14" t="s">
        <v>121</v>
      </c>
      <c r="E93" s="41">
        <v>5</v>
      </c>
      <c r="F93" s="41"/>
      <c r="G93" s="71">
        <f>G783</f>
        <v>56.1</v>
      </c>
      <c r="H93" s="86">
        <f>H783</f>
        <v>5060665</v>
      </c>
      <c r="I93" s="71">
        <f>I783</f>
        <v>53.91167310267398</v>
      </c>
      <c r="J93" s="86">
        <f>J783</f>
        <v>4687123</v>
      </c>
      <c r="L93" s="71">
        <f>L783</f>
        <v>59.099999999999994</v>
      </c>
      <c r="M93" s="86">
        <f>M783</f>
        <v>5364472</v>
      </c>
      <c r="P93" s="377"/>
    </row>
    <row r="94" spans="1:16" ht="12">
      <c r="A94" s="41">
        <v>6</v>
      </c>
      <c r="C94" s="4" t="s">
        <v>14</v>
      </c>
      <c r="D94" s="14" t="s">
        <v>122</v>
      </c>
      <c r="E94" s="41">
        <v>6</v>
      </c>
      <c r="F94" s="41"/>
      <c r="G94" s="71">
        <f>G820</f>
        <v>86.83</v>
      </c>
      <c r="H94" s="86">
        <f>H820</f>
        <v>7171021</v>
      </c>
      <c r="I94" s="71">
        <f>I820</f>
        <v>69.9094855956065</v>
      </c>
      <c r="J94" s="86">
        <f>J820</f>
        <v>7127895</v>
      </c>
      <c r="L94" s="71">
        <f>L820</f>
        <v>82.81</v>
      </c>
      <c r="M94" s="86">
        <f>M820</f>
        <v>8082247</v>
      </c>
      <c r="P94" s="377"/>
    </row>
    <row r="95" spans="1:16" ht="12">
      <c r="A95" s="41">
        <v>7</v>
      </c>
      <c r="C95" s="4" t="s">
        <v>59</v>
      </c>
      <c r="D95" s="14" t="s">
        <v>123</v>
      </c>
      <c r="E95" s="41">
        <v>7</v>
      </c>
      <c r="F95" s="41"/>
      <c r="G95" s="71">
        <f>G853</f>
        <v>38.03</v>
      </c>
      <c r="H95" s="86">
        <f>H853</f>
        <v>9181866</v>
      </c>
      <c r="I95" s="71">
        <f>I853</f>
        <v>29.528823200582483</v>
      </c>
      <c r="J95" s="86">
        <f>J853</f>
        <v>7219024</v>
      </c>
      <c r="L95" s="71">
        <f>L853</f>
        <v>32.21</v>
      </c>
      <c r="M95" s="86">
        <f>M853</f>
        <v>9065094</v>
      </c>
      <c r="P95" s="377"/>
    </row>
    <row r="96" spans="1:16" ht="12">
      <c r="A96" s="41">
        <v>8</v>
      </c>
      <c r="C96" s="4" t="s">
        <v>15</v>
      </c>
      <c r="D96" s="14" t="s">
        <v>124</v>
      </c>
      <c r="E96" s="41">
        <v>8</v>
      </c>
      <c r="F96" s="41"/>
      <c r="G96" s="71">
        <f>G907</f>
        <v>0</v>
      </c>
      <c r="H96" s="86">
        <f>+H882</f>
        <v>5039193</v>
      </c>
      <c r="I96" s="71">
        <f>I907</f>
        <v>0</v>
      </c>
      <c r="J96" s="86">
        <f>+J882</f>
        <v>4399048</v>
      </c>
      <c r="L96" s="71">
        <f>L907</f>
        <v>0</v>
      </c>
      <c r="M96" s="86">
        <f>+M882</f>
        <v>5930557</v>
      </c>
      <c r="P96" s="377"/>
    </row>
    <row r="97" spans="1:16" ht="12">
      <c r="A97" s="41">
        <v>9</v>
      </c>
      <c r="C97" s="4" t="s">
        <v>101</v>
      </c>
      <c r="D97" s="14" t="s">
        <v>125</v>
      </c>
      <c r="E97" s="41">
        <v>9</v>
      </c>
      <c r="F97" s="41"/>
      <c r="G97" s="71">
        <f>G946</f>
        <v>0</v>
      </c>
      <c r="H97" s="86">
        <f>H946</f>
        <v>0</v>
      </c>
      <c r="I97" s="71">
        <f>I946</f>
        <v>0</v>
      </c>
      <c r="J97" s="86">
        <f>J946</f>
        <v>0</v>
      </c>
      <c r="L97" s="71">
        <f>L946</f>
        <v>0</v>
      </c>
      <c r="M97" s="86">
        <f>M946</f>
        <v>0</v>
      </c>
      <c r="P97" s="377"/>
    </row>
    <row r="98" spans="1:16" ht="12">
      <c r="A98" s="41">
        <v>10</v>
      </c>
      <c r="C98" s="4" t="s">
        <v>16</v>
      </c>
      <c r="D98" s="14" t="s">
        <v>100</v>
      </c>
      <c r="E98" s="41">
        <v>10</v>
      </c>
      <c r="F98" s="41"/>
      <c r="G98" s="71">
        <f>G981</f>
        <v>0</v>
      </c>
      <c r="H98" s="86">
        <f>H981</f>
        <v>15956530</v>
      </c>
      <c r="I98" s="71">
        <f>I981</f>
        <v>0</v>
      </c>
      <c r="J98" s="86">
        <f>J981</f>
        <v>16230137</v>
      </c>
      <c r="L98" s="71">
        <f>L981</f>
        <v>0</v>
      </c>
      <c r="M98" s="86">
        <f>M981</f>
        <v>13289116</v>
      </c>
      <c r="P98" s="377"/>
    </row>
    <row r="99" spans="1:13" ht="12">
      <c r="A99" s="41"/>
      <c r="C99" s="4"/>
      <c r="D99" s="14"/>
      <c r="E99" s="41"/>
      <c r="F99" s="41"/>
      <c r="G99" s="18" t="s">
        <v>1</v>
      </c>
      <c r="H99" s="176" t="s">
        <v>1</v>
      </c>
      <c r="I99" s="18" t="s">
        <v>1</v>
      </c>
      <c r="J99" s="176" t="s">
        <v>1</v>
      </c>
      <c r="K99" s="176" t="s">
        <v>1</v>
      </c>
      <c r="L99" s="18" t="s">
        <v>1</v>
      </c>
      <c r="M99" s="176" t="s">
        <v>1</v>
      </c>
    </row>
    <row r="100" spans="1:13" ht="12">
      <c r="A100" s="5">
        <v>11</v>
      </c>
      <c r="C100" s="4" t="s">
        <v>265</v>
      </c>
      <c r="E100" s="5">
        <v>11</v>
      </c>
      <c r="G100" s="71">
        <f>SUM(G89:G98)</f>
        <v>1046.8600000000001</v>
      </c>
      <c r="H100" s="86">
        <f>SUM(H89:H99)</f>
        <v>105262967</v>
      </c>
      <c r="I100" s="71">
        <f>SUM(I89:I98)</f>
        <v>1080.992074452776</v>
      </c>
      <c r="J100" s="86">
        <f>SUM(J89:J99)</f>
        <v>109155212</v>
      </c>
      <c r="L100" s="71">
        <f>SUM(L89:L98)</f>
        <v>1085.7</v>
      </c>
      <c r="M100" s="86">
        <f>SUM(M89:M99)</f>
        <v>115477887</v>
      </c>
    </row>
    <row r="101" spans="1:13" ht="12">
      <c r="A101" s="41"/>
      <c r="G101" s="18" t="s">
        <v>1</v>
      </c>
      <c r="H101" s="176" t="s">
        <v>1</v>
      </c>
      <c r="I101" s="18" t="s">
        <v>1</v>
      </c>
      <c r="J101" s="176" t="s">
        <v>1</v>
      </c>
      <c r="K101" s="176" t="s">
        <v>1</v>
      </c>
      <c r="L101" s="176" t="s">
        <v>1</v>
      </c>
      <c r="M101" s="176" t="s">
        <v>1</v>
      </c>
    </row>
    <row r="102" spans="1:16" ht="12">
      <c r="A102" s="41"/>
      <c r="G102" s="86"/>
      <c r="H102" s="176"/>
      <c r="I102" s="86"/>
      <c r="J102" s="176"/>
      <c r="K102" s="176"/>
      <c r="L102" s="86"/>
      <c r="M102" s="176"/>
      <c r="N102" s="192"/>
      <c r="P102" s="220"/>
    </row>
    <row r="103" spans="1:13" ht="12">
      <c r="A103" s="5">
        <v>12</v>
      </c>
      <c r="C103" s="4" t="s">
        <v>17</v>
      </c>
      <c r="E103" s="5">
        <f>A103</f>
        <v>12</v>
      </c>
      <c r="G103" s="86"/>
      <c r="H103" s="86"/>
      <c r="I103" s="86"/>
      <c r="J103" s="86"/>
      <c r="L103" s="86"/>
      <c r="M103" s="86"/>
    </row>
    <row r="104" spans="1:16" ht="12">
      <c r="A104" s="41">
        <f aca="true" t="shared" si="0" ref="A104:A112">A103+1</f>
        <v>13</v>
      </c>
      <c r="C104" s="4" t="s">
        <v>226</v>
      </c>
      <c r="D104" s="14" t="s">
        <v>481</v>
      </c>
      <c r="E104" s="5">
        <f aca="true" t="shared" si="1" ref="E104:E116">A104</f>
        <v>13</v>
      </c>
      <c r="G104" s="86">
        <v>0</v>
      </c>
      <c r="H104" s="86">
        <f>H106</f>
        <v>13394942</v>
      </c>
      <c r="I104" s="86"/>
      <c r="J104" s="86">
        <f>J106</f>
        <v>15386680</v>
      </c>
      <c r="L104" s="86"/>
      <c r="M104" s="86">
        <f>M106</f>
        <v>15413397</v>
      </c>
      <c r="N104" s="192"/>
      <c r="P104" s="220"/>
    </row>
    <row r="105" spans="1:16" ht="12">
      <c r="A105" s="41">
        <f t="shared" si="0"/>
        <v>14</v>
      </c>
      <c r="C105" s="4" t="s">
        <v>227</v>
      </c>
      <c r="D105" s="4" t="s">
        <v>483</v>
      </c>
      <c r="E105" s="5">
        <f t="shared" si="1"/>
        <v>14</v>
      </c>
      <c r="G105" s="86"/>
      <c r="H105" s="86">
        <f>+H570</f>
        <v>11469410</v>
      </c>
      <c r="I105" s="86"/>
      <c r="J105" s="86">
        <f>+J570</f>
        <v>11893085</v>
      </c>
      <c r="L105" s="86"/>
      <c r="M105" s="86">
        <f>+M570</f>
        <v>15870784</v>
      </c>
      <c r="N105" s="192"/>
      <c r="P105" s="220"/>
    </row>
    <row r="106" spans="1:16" ht="12">
      <c r="A106" s="41">
        <f t="shared" si="0"/>
        <v>15</v>
      </c>
      <c r="C106" s="4" t="s">
        <v>256</v>
      </c>
      <c r="D106" s="14"/>
      <c r="E106" s="5">
        <f t="shared" si="1"/>
        <v>15</v>
      </c>
      <c r="G106" s="86"/>
      <c r="H106" s="86">
        <f>+H534</f>
        <v>13394942</v>
      </c>
      <c r="I106" s="86"/>
      <c r="J106" s="86">
        <f>+J534</f>
        <v>15386680</v>
      </c>
      <c r="L106" s="86"/>
      <c r="M106" s="86">
        <f>+M534</f>
        <v>15413397</v>
      </c>
      <c r="N106" s="192"/>
      <c r="P106" s="220"/>
    </row>
    <row r="107" spans="1:16" ht="12">
      <c r="A107" s="41">
        <f t="shared" si="0"/>
        <v>16</v>
      </c>
      <c r="C107" s="4" t="s">
        <v>255</v>
      </c>
      <c r="D107" s="14"/>
      <c r="E107" s="5">
        <f t="shared" si="1"/>
        <v>16</v>
      </c>
      <c r="G107" s="231">
        <f>+G403</f>
        <v>5878.3</v>
      </c>
      <c r="H107" s="86">
        <f>+H403-H106</f>
        <v>31335141</v>
      </c>
      <c r="I107" s="231">
        <f>+I403</f>
        <v>6106.799999999999</v>
      </c>
      <c r="J107" s="86">
        <f>+J403-J106</f>
        <v>33711018</v>
      </c>
      <c r="L107" s="231">
        <f>+L403</f>
        <v>6199</v>
      </c>
      <c r="M107" s="86">
        <f>+M403-M106</f>
        <v>35543006</v>
      </c>
      <c r="N107" s="192"/>
      <c r="P107" s="220"/>
    </row>
    <row r="108" spans="1:16" ht="12">
      <c r="A108" s="41">
        <f t="shared" si="0"/>
        <v>17</v>
      </c>
      <c r="C108" s="75" t="s">
        <v>257</v>
      </c>
      <c r="D108" s="14"/>
      <c r="G108" s="231">
        <f>SUM(G107)</f>
        <v>5878.3</v>
      </c>
      <c r="H108" s="86">
        <f>SUM(H106:H107)</f>
        <v>44730083</v>
      </c>
      <c r="I108" s="231">
        <f>SUM(I107)</f>
        <v>6106.799999999999</v>
      </c>
      <c r="J108" s="86">
        <f>SUM(J106:J107)</f>
        <v>49097698</v>
      </c>
      <c r="L108" s="231">
        <f>SUM(L107)</f>
        <v>6199</v>
      </c>
      <c r="M108" s="86">
        <f>SUM(M106:M107)</f>
        <v>50956403</v>
      </c>
      <c r="N108" s="192"/>
      <c r="P108" s="220"/>
    </row>
    <row r="109" spans="1:17" ht="12">
      <c r="A109" s="41">
        <f t="shared" si="0"/>
        <v>18</v>
      </c>
      <c r="C109" s="4" t="s">
        <v>258</v>
      </c>
      <c r="D109" s="14"/>
      <c r="E109" s="5">
        <f t="shared" si="1"/>
        <v>18</v>
      </c>
      <c r="G109" s="231">
        <f>+G402</f>
        <v>2178.3999999999996</v>
      </c>
      <c r="H109" s="86">
        <f>+H402</f>
        <v>22455929</v>
      </c>
      <c r="I109" s="231">
        <f>+I402</f>
        <v>2099.2</v>
      </c>
      <c r="J109" s="86">
        <f>+J402</f>
        <v>22287280</v>
      </c>
      <c r="L109" s="231">
        <f>+L402</f>
        <v>2058</v>
      </c>
      <c r="M109" s="86">
        <f>+M402</f>
        <v>23138125</v>
      </c>
      <c r="Q109" s="192"/>
    </row>
    <row r="110" spans="1:13" ht="12">
      <c r="A110" s="41">
        <f t="shared" si="0"/>
        <v>19</v>
      </c>
      <c r="C110" s="4" t="s">
        <v>195</v>
      </c>
      <c r="D110" s="14"/>
      <c r="E110" s="5">
        <f t="shared" si="1"/>
        <v>19</v>
      </c>
      <c r="G110" s="231">
        <f>+G408</f>
        <v>606</v>
      </c>
      <c r="H110" s="86">
        <f>H408</f>
        <v>12030334</v>
      </c>
      <c r="I110" s="231">
        <f>+I408</f>
        <v>638.0999999999999</v>
      </c>
      <c r="J110" s="86">
        <f>J408</f>
        <v>13134949</v>
      </c>
      <c r="L110" s="231">
        <f>+L408</f>
        <v>642</v>
      </c>
      <c r="M110" s="86">
        <f>M408</f>
        <v>13631473</v>
      </c>
    </row>
    <row r="111" spans="1:13" ht="12">
      <c r="A111" s="41">
        <f t="shared" si="0"/>
        <v>20</v>
      </c>
      <c r="C111" s="4" t="s">
        <v>173</v>
      </c>
      <c r="E111" s="5">
        <f t="shared" si="1"/>
        <v>20</v>
      </c>
      <c r="G111" s="231">
        <f>SUM(G108:G110)</f>
        <v>8662.7</v>
      </c>
      <c r="H111" s="189">
        <f>+H110+H109+H108</f>
        <v>79216346</v>
      </c>
      <c r="I111" s="231">
        <f>SUM(I108:I110)</f>
        <v>8844.1</v>
      </c>
      <c r="J111" s="189">
        <f>SUM(J108:J110)</f>
        <v>84519927</v>
      </c>
      <c r="K111" s="176"/>
      <c r="L111" s="231">
        <f>SUM(L108:L110)</f>
        <v>8899</v>
      </c>
      <c r="M111" s="189">
        <f>SUM(M108:M110)</f>
        <v>87726001</v>
      </c>
    </row>
    <row r="112" spans="1:17" ht="12">
      <c r="A112" s="41">
        <f t="shared" si="0"/>
        <v>21</v>
      </c>
      <c r="C112" s="4" t="s">
        <v>484</v>
      </c>
      <c r="D112" s="4"/>
      <c r="E112" s="5">
        <f t="shared" si="1"/>
        <v>21</v>
      </c>
      <c r="G112" s="101"/>
      <c r="H112" s="86">
        <f>H454</f>
        <v>8006186</v>
      </c>
      <c r="J112" s="86">
        <f>J454</f>
        <v>9510821</v>
      </c>
      <c r="M112" s="86">
        <f>M454</f>
        <v>9681102</v>
      </c>
      <c r="Q112" s="378"/>
    </row>
    <row r="113" spans="1:17" ht="12">
      <c r="A113" s="41">
        <f>A112+1</f>
        <v>22</v>
      </c>
      <c r="C113" s="4"/>
      <c r="D113" s="4"/>
      <c r="E113" s="5">
        <f t="shared" si="1"/>
        <v>22</v>
      </c>
      <c r="G113" s="101"/>
      <c r="H113" s="86"/>
      <c r="J113" s="86"/>
      <c r="M113" s="86"/>
      <c r="Q113" s="378"/>
    </row>
    <row r="114" spans="1:18" ht="12">
      <c r="A114" s="41">
        <f>A113+1</f>
        <v>23</v>
      </c>
      <c r="C114" s="4" t="s">
        <v>485</v>
      </c>
      <c r="D114" s="14" t="s">
        <v>486</v>
      </c>
      <c r="E114" s="5">
        <f t="shared" si="1"/>
        <v>23</v>
      </c>
      <c r="G114" s="101"/>
      <c r="H114" s="192">
        <f>H489</f>
        <v>6571025</v>
      </c>
      <c r="J114" s="86">
        <f>J489</f>
        <v>3231379</v>
      </c>
      <c r="M114" s="192">
        <f>M489</f>
        <v>2200000</v>
      </c>
      <c r="Q114" s="192"/>
      <c r="R114" s="192"/>
    </row>
    <row r="115" spans="1:13" ht="12">
      <c r="A115" s="5">
        <f>A114+1</f>
        <v>24</v>
      </c>
      <c r="E115" s="5">
        <f t="shared" si="1"/>
        <v>24</v>
      </c>
      <c r="G115" s="56" t="s">
        <v>1</v>
      </c>
      <c r="H115" s="176" t="s">
        <v>1</v>
      </c>
      <c r="I115" s="176" t="s">
        <v>1</v>
      </c>
      <c r="J115" s="176" t="s">
        <v>1</v>
      </c>
      <c r="K115" s="176" t="s">
        <v>1</v>
      </c>
      <c r="L115" s="176" t="s">
        <v>1</v>
      </c>
      <c r="M115" s="176" t="s">
        <v>1</v>
      </c>
    </row>
    <row r="116" spans="1:17" ht="12">
      <c r="A116" s="41">
        <f>A115+1</f>
        <v>25</v>
      </c>
      <c r="C116" s="4" t="s">
        <v>266</v>
      </c>
      <c r="E116" s="5">
        <f t="shared" si="1"/>
        <v>25</v>
      </c>
      <c r="G116" s="71">
        <f>+G114+G112+G111+G105</f>
        <v>8662.7</v>
      </c>
      <c r="H116" s="86">
        <f>+H114+H112+H111+H105</f>
        <v>105262967</v>
      </c>
      <c r="I116" s="71">
        <f>+I114+I112+I111+I105</f>
        <v>8844.1</v>
      </c>
      <c r="J116" s="86">
        <f>+J114+J112+J111+J105</f>
        <v>109155212</v>
      </c>
      <c r="L116" s="71">
        <f>+L114+L112+L111+L105</f>
        <v>8899</v>
      </c>
      <c r="M116" s="86">
        <f>+M114+M112+M111+M105</f>
        <v>115477887</v>
      </c>
      <c r="N116" s="378"/>
      <c r="P116" s="379"/>
      <c r="Q116" s="192"/>
    </row>
    <row r="117" spans="7:13" ht="12">
      <c r="G117" s="176" t="s">
        <v>1</v>
      </c>
      <c r="H117" s="176" t="s">
        <v>1</v>
      </c>
      <c r="I117" s="176" t="s">
        <v>1</v>
      </c>
      <c r="J117" s="176" t="s">
        <v>1</v>
      </c>
      <c r="K117" s="176" t="s">
        <v>1</v>
      </c>
      <c r="L117" s="176" t="s">
        <v>1</v>
      </c>
      <c r="M117" s="176" t="s">
        <v>1</v>
      </c>
    </row>
    <row r="118" spans="7:16" ht="12">
      <c r="G118" s="176"/>
      <c r="H118" s="380">
        <f>+H116-H100</f>
        <v>0</v>
      </c>
      <c r="I118" s="381"/>
      <c r="J118" s="194">
        <f>+J116-J100</f>
        <v>0</v>
      </c>
      <c r="K118" s="381"/>
      <c r="L118" s="381"/>
      <c r="M118" s="380">
        <f>+M116-M100</f>
        <v>0</v>
      </c>
      <c r="N118" s="192"/>
      <c r="P118" s="220"/>
    </row>
    <row r="119" spans="3:13" ht="12">
      <c r="C119" s="5" t="s">
        <v>102</v>
      </c>
      <c r="D119" s="14"/>
      <c r="G119" s="176"/>
      <c r="H119" s="192">
        <f>11913278</f>
        <v>11913278</v>
      </c>
      <c r="I119" s="176"/>
      <c r="J119" s="189">
        <f>11666306+567494</f>
        <v>12233800</v>
      </c>
      <c r="K119" s="176"/>
      <c r="L119" s="176"/>
      <c r="M119" s="189">
        <f>+M415</f>
        <v>12997554</v>
      </c>
    </row>
    <row r="120" spans="4:13" ht="12">
      <c r="D120" s="14"/>
      <c r="G120" s="176"/>
      <c r="H120" s="176"/>
      <c r="I120" s="176"/>
      <c r="K120" s="176"/>
      <c r="L120" s="176"/>
      <c r="M120" s="176"/>
    </row>
    <row r="121" spans="5:17" ht="12">
      <c r="E121" s="38"/>
      <c r="F121" s="38"/>
      <c r="G121" s="86"/>
      <c r="I121" s="86"/>
      <c r="J121" s="86"/>
      <c r="K121" s="86"/>
      <c r="M121" s="86"/>
      <c r="Q121" s="86"/>
    </row>
    <row r="122" spans="4:17" ht="12">
      <c r="D122" s="14"/>
      <c r="F122" s="15"/>
      <c r="G122" s="15"/>
      <c r="H122" s="15"/>
      <c r="I122" s="16"/>
      <c r="J122" s="17"/>
      <c r="K122" s="18"/>
      <c r="L122" s="16"/>
      <c r="M122" s="19"/>
      <c r="Q122" s="86"/>
    </row>
    <row r="123" spans="5:17" ht="12">
      <c r="E123" s="38"/>
      <c r="G123" s="5"/>
      <c r="H123" s="5"/>
      <c r="I123" s="48"/>
      <c r="J123" s="17"/>
      <c r="K123" s="5"/>
      <c r="L123" s="48"/>
      <c r="M123" s="17"/>
      <c r="Q123" s="86"/>
    </row>
    <row r="124" spans="7:17" ht="12">
      <c r="G124" s="5"/>
      <c r="H124" s="5"/>
      <c r="I124" s="48"/>
      <c r="J124" s="17"/>
      <c r="K124" s="5"/>
      <c r="L124" s="48"/>
      <c r="M124" s="17"/>
      <c r="Q124" s="86"/>
    </row>
    <row r="125" spans="1:17" ht="12">
      <c r="A125" s="70" t="str">
        <f>$A$82</f>
        <v>Institution No.:  GFD</v>
      </c>
      <c r="B125" s="21"/>
      <c r="C125" s="21"/>
      <c r="D125" s="21"/>
      <c r="E125" s="20"/>
      <c r="F125" s="21"/>
      <c r="G125" s="21"/>
      <c r="H125" s="21"/>
      <c r="I125" s="22"/>
      <c r="J125" s="23"/>
      <c r="K125" s="21"/>
      <c r="L125" s="22"/>
      <c r="M125" s="69" t="s">
        <v>293</v>
      </c>
      <c r="Q125" s="86"/>
    </row>
    <row r="126" spans="1:17" ht="12">
      <c r="A126" s="423" t="s">
        <v>291</v>
      </c>
      <c r="B126" s="423"/>
      <c r="C126" s="423"/>
      <c r="D126" s="423"/>
      <c r="E126" s="423"/>
      <c r="F126" s="423"/>
      <c r="G126" s="423"/>
      <c r="H126" s="423"/>
      <c r="I126" s="423"/>
      <c r="J126" s="423"/>
      <c r="K126" s="423"/>
      <c r="L126" s="423"/>
      <c r="M126" s="423"/>
      <c r="Q126" s="86"/>
    </row>
    <row r="127" spans="1:17" ht="12">
      <c r="A127" s="70" t="str">
        <f>$A$42</f>
        <v>Governing Board Summary</v>
      </c>
      <c r="G127" s="5"/>
      <c r="H127" s="5"/>
      <c r="I127" s="48"/>
      <c r="J127" s="25"/>
      <c r="K127" s="5"/>
      <c r="L127" s="6"/>
      <c r="M127" s="72" t="str">
        <f>$M$3</f>
        <v>Date: 10/1/2007</v>
      </c>
      <c r="Q127" s="86"/>
    </row>
    <row r="128" spans="1:17" ht="12">
      <c r="A128" s="15" t="s">
        <v>1</v>
      </c>
      <c r="B128" s="15" t="s">
        <v>1</v>
      </c>
      <c r="C128" s="15" t="s">
        <v>1</v>
      </c>
      <c r="D128" s="15" t="s">
        <v>1</v>
      </c>
      <c r="E128" s="15" t="s">
        <v>1</v>
      </c>
      <c r="F128" s="15" t="s">
        <v>1</v>
      </c>
      <c r="G128" s="15"/>
      <c r="H128" s="15"/>
      <c r="I128" s="16" t="s">
        <v>1</v>
      </c>
      <c r="J128" s="19" t="s">
        <v>1</v>
      </c>
      <c r="K128" s="15" t="s">
        <v>1</v>
      </c>
      <c r="L128" s="16" t="s">
        <v>1</v>
      </c>
      <c r="M128" s="19" t="s">
        <v>1</v>
      </c>
      <c r="Q128" s="86"/>
    </row>
    <row r="129" spans="1:17" ht="12">
      <c r="A129" s="73" t="s">
        <v>2</v>
      </c>
      <c r="E129" s="73" t="s">
        <v>2</v>
      </c>
      <c r="F129" s="1"/>
      <c r="G129" s="1"/>
      <c r="H129" s="1" t="s">
        <v>172</v>
      </c>
      <c r="I129" s="2"/>
      <c r="J129" s="3" t="s">
        <v>280</v>
      </c>
      <c r="K129" s="1"/>
      <c r="L129" s="2"/>
      <c r="M129" s="3" t="s">
        <v>289</v>
      </c>
      <c r="Q129" s="86"/>
    </row>
    <row r="130" spans="1:17" ht="12">
      <c r="A130" s="73" t="s">
        <v>4</v>
      </c>
      <c r="C130" s="74" t="s">
        <v>20</v>
      </c>
      <c r="E130" s="73" t="s">
        <v>4</v>
      </c>
      <c r="F130" s="1"/>
      <c r="G130" s="1"/>
      <c r="H130" s="1" t="s">
        <v>7</v>
      </c>
      <c r="I130" s="2"/>
      <c r="J130" s="3" t="s">
        <v>7</v>
      </c>
      <c r="K130" s="1"/>
      <c r="L130" s="2"/>
      <c r="M130" s="3" t="s">
        <v>8</v>
      </c>
      <c r="Q130" s="86"/>
    </row>
    <row r="131" spans="1:17" ht="12">
      <c r="A131" s="15" t="s">
        <v>1</v>
      </c>
      <c r="B131" s="15" t="s">
        <v>1</v>
      </c>
      <c r="C131" s="15" t="s">
        <v>1</v>
      </c>
      <c r="D131" s="15" t="s">
        <v>1</v>
      </c>
      <c r="E131" s="15" t="s">
        <v>1</v>
      </c>
      <c r="F131" s="15" t="s">
        <v>1</v>
      </c>
      <c r="G131" s="15"/>
      <c r="H131" s="15"/>
      <c r="I131" s="16" t="s">
        <v>1</v>
      </c>
      <c r="J131" s="19" t="s">
        <v>1</v>
      </c>
      <c r="K131" s="15" t="s">
        <v>1</v>
      </c>
      <c r="L131" s="16" t="s">
        <v>1</v>
      </c>
      <c r="M131" s="19" t="s">
        <v>1</v>
      </c>
      <c r="Q131" s="86"/>
    </row>
    <row r="132" spans="1:17" ht="12">
      <c r="A132" s="5">
        <v>1</v>
      </c>
      <c r="C132" s="5" t="s">
        <v>222</v>
      </c>
      <c r="E132" s="5">
        <v>1</v>
      </c>
      <c r="G132" s="5"/>
      <c r="H132" s="5"/>
      <c r="I132" s="48"/>
      <c r="J132" s="17"/>
      <c r="K132" s="5"/>
      <c r="L132" s="48"/>
      <c r="M132" s="17"/>
      <c r="Q132" s="86"/>
    </row>
    <row r="133" spans="1:17" ht="12">
      <c r="A133" s="5">
        <v>2</v>
      </c>
      <c r="C133" s="5" t="s">
        <v>208</v>
      </c>
      <c r="E133" s="5">
        <v>2</v>
      </c>
      <c r="G133" s="5"/>
      <c r="H133" s="5"/>
      <c r="I133" s="48"/>
      <c r="J133" s="17"/>
      <c r="K133" s="5"/>
      <c r="L133" s="48"/>
      <c r="M133" s="17"/>
      <c r="Q133" s="86"/>
    </row>
    <row r="134" spans="1:17" ht="12">
      <c r="A134" s="5">
        <v>3</v>
      </c>
      <c r="C134" s="5" t="s">
        <v>209</v>
      </c>
      <c r="E134" s="5">
        <v>3</v>
      </c>
      <c r="G134" s="5"/>
      <c r="H134" s="5"/>
      <c r="I134" s="48"/>
      <c r="J134" s="17"/>
      <c r="K134" s="5"/>
      <c r="L134" s="48"/>
      <c r="M134" s="17"/>
      <c r="Q134" s="86"/>
    </row>
    <row r="135" spans="1:17" ht="12">
      <c r="A135" s="5">
        <v>4</v>
      </c>
      <c r="C135" s="5" t="s">
        <v>210</v>
      </c>
      <c r="E135" s="5">
        <v>4</v>
      </c>
      <c r="G135" s="5"/>
      <c r="H135" s="5"/>
      <c r="I135" s="48"/>
      <c r="J135" s="17"/>
      <c r="K135" s="5"/>
      <c r="L135" s="48"/>
      <c r="M135" s="17"/>
      <c r="Q135" s="86"/>
    </row>
    <row r="136" spans="1:17" ht="12">
      <c r="A136" s="5">
        <v>5</v>
      </c>
      <c r="C136" s="5" t="s">
        <v>211</v>
      </c>
      <c r="E136" s="5">
        <v>5</v>
      </c>
      <c r="G136" s="5"/>
      <c r="H136" s="5"/>
      <c r="I136" s="48"/>
      <c r="J136" s="17"/>
      <c r="K136" s="5"/>
      <c r="L136" s="48"/>
      <c r="M136" s="17"/>
      <c r="Q136" s="86"/>
    </row>
    <row r="137" spans="1:17" ht="12">
      <c r="A137" s="5">
        <v>6</v>
      </c>
      <c r="C137" s="5" t="s">
        <v>212</v>
      </c>
      <c r="E137" s="5">
        <v>6</v>
      </c>
      <c r="G137" s="5"/>
      <c r="H137" s="5"/>
      <c r="I137" s="48"/>
      <c r="J137" s="17"/>
      <c r="K137" s="5"/>
      <c r="L137" s="48"/>
      <c r="M137" s="17"/>
      <c r="Q137" s="86"/>
    </row>
    <row r="138" spans="1:17" ht="12">
      <c r="A138" s="5">
        <v>7</v>
      </c>
      <c r="C138" s="5" t="s">
        <v>213</v>
      </c>
      <c r="E138" s="5">
        <v>7</v>
      </c>
      <c r="G138" s="5"/>
      <c r="H138" s="5"/>
      <c r="I138" s="48"/>
      <c r="J138" s="17"/>
      <c r="K138" s="5"/>
      <c r="L138" s="48"/>
      <c r="M138" s="17"/>
      <c r="Q138" s="86"/>
    </row>
    <row r="139" spans="1:17" ht="12">
      <c r="A139" s="5">
        <v>8</v>
      </c>
      <c r="C139" s="5" t="s">
        <v>214</v>
      </c>
      <c r="E139" s="5">
        <v>8</v>
      </c>
      <c r="G139" s="5"/>
      <c r="H139" s="5"/>
      <c r="I139" s="48"/>
      <c r="J139" s="17"/>
      <c r="K139" s="5"/>
      <c r="L139" s="48"/>
      <c r="M139" s="17"/>
      <c r="Q139" s="86"/>
    </row>
    <row r="140" spans="1:17" ht="12">
      <c r="A140" s="5">
        <v>9</v>
      </c>
      <c r="C140" s="5" t="s">
        <v>215</v>
      </c>
      <c r="E140" s="5">
        <v>9</v>
      </c>
      <c r="G140" s="5"/>
      <c r="H140" s="5"/>
      <c r="I140" s="48"/>
      <c r="J140" s="17"/>
      <c r="K140" s="5"/>
      <c r="L140" s="48"/>
      <c r="M140" s="17"/>
      <c r="Q140" s="86"/>
    </row>
    <row r="141" spans="1:17" ht="12">
      <c r="A141" s="5">
        <v>10</v>
      </c>
      <c r="C141" s="5" t="s">
        <v>216</v>
      </c>
      <c r="E141" s="5">
        <v>10</v>
      </c>
      <c r="G141" s="5"/>
      <c r="H141" s="5"/>
      <c r="I141" s="48"/>
      <c r="J141" s="17"/>
      <c r="K141" s="5"/>
      <c r="L141" s="48"/>
      <c r="M141" s="17"/>
      <c r="Q141" s="86"/>
    </row>
    <row r="142" spans="1:17" ht="12">
      <c r="A142" s="5">
        <v>11</v>
      </c>
      <c r="C142" s="5" t="s">
        <v>217</v>
      </c>
      <c r="E142" s="5">
        <v>11</v>
      </c>
      <c r="G142" s="5"/>
      <c r="H142" s="5"/>
      <c r="I142" s="48"/>
      <c r="J142" s="17"/>
      <c r="K142" s="5"/>
      <c r="L142" s="48"/>
      <c r="M142" s="17"/>
      <c r="Q142" s="86"/>
    </row>
    <row r="143" spans="3:17" ht="12">
      <c r="C143" s="5" t="s">
        <v>218</v>
      </c>
      <c r="E143" s="38"/>
      <c r="G143" s="5"/>
      <c r="H143" s="5"/>
      <c r="I143" s="48"/>
      <c r="J143" s="17"/>
      <c r="K143" s="5"/>
      <c r="L143" s="48"/>
      <c r="M143" s="17"/>
      <c r="Q143" s="86"/>
    </row>
    <row r="144" spans="1:17" ht="12">
      <c r="A144" s="5">
        <v>12</v>
      </c>
      <c r="C144" s="5" t="s">
        <v>223</v>
      </c>
      <c r="E144" s="38">
        <v>12</v>
      </c>
      <c r="G144" s="5"/>
      <c r="H144" s="5">
        <f>SUM(H132:H142)</f>
        <v>0</v>
      </c>
      <c r="I144" s="48"/>
      <c r="J144" s="5">
        <f>SUM(J132:J142)</f>
        <v>0</v>
      </c>
      <c r="K144" s="5"/>
      <c r="L144" s="48"/>
      <c r="M144" s="17">
        <f>SUM(M132:M142)</f>
        <v>0</v>
      </c>
      <c r="Q144" s="86"/>
    </row>
    <row r="145" spans="5:17" ht="12">
      <c r="E145" s="38"/>
      <c r="G145" s="5"/>
      <c r="H145" s="5"/>
      <c r="I145" s="48"/>
      <c r="J145" s="17"/>
      <c r="K145" s="5"/>
      <c r="L145" s="48"/>
      <c r="M145" s="17"/>
      <c r="Q145" s="86"/>
    </row>
    <row r="146" spans="5:17" ht="12">
      <c r="E146" s="38"/>
      <c r="G146" s="5"/>
      <c r="H146" s="5"/>
      <c r="I146" s="48"/>
      <c r="J146" s="17"/>
      <c r="K146" s="5"/>
      <c r="L146" s="48"/>
      <c r="M146" s="17"/>
      <c r="Q146" s="86"/>
    </row>
    <row r="147" spans="5:17" ht="12">
      <c r="E147" s="38"/>
      <c r="G147" s="5"/>
      <c r="H147" s="5"/>
      <c r="I147" s="48"/>
      <c r="J147" s="17"/>
      <c r="K147" s="5"/>
      <c r="L147" s="48"/>
      <c r="M147" s="17"/>
      <c r="Q147" s="86"/>
    </row>
    <row r="148" spans="5:17" ht="12">
      <c r="E148" s="38"/>
      <c r="G148" s="5"/>
      <c r="H148" s="5"/>
      <c r="I148" s="48"/>
      <c r="J148" s="17"/>
      <c r="K148" s="5"/>
      <c r="L148" s="48"/>
      <c r="M148" s="17"/>
      <c r="Q148" s="86"/>
    </row>
    <row r="149" spans="5:17" ht="12">
      <c r="E149" s="38"/>
      <c r="G149" s="5"/>
      <c r="H149" s="5"/>
      <c r="I149" s="48"/>
      <c r="J149" s="17"/>
      <c r="K149" s="5"/>
      <c r="L149" s="48"/>
      <c r="M149" s="17"/>
      <c r="Q149" s="86"/>
    </row>
    <row r="150" spans="5:17" ht="12">
      <c r="E150" s="38"/>
      <c r="G150" s="5"/>
      <c r="H150" s="5"/>
      <c r="I150" s="48"/>
      <c r="J150" s="17"/>
      <c r="K150" s="5"/>
      <c r="L150" s="48"/>
      <c r="M150" s="17"/>
      <c r="Q150" s="86"/>
    </row>
    <row r="151" spans="5:17" ht="12">
      <c r="E151" s="38"/>
      <c r="G151" s="5"/>
      <c r="H151" s="5"/>
      <c r="I151" s="48"/>
      <c r="J151" s="17"/>
      <c r="K151" s="5"/>
      <c r="L151" s="48"/>
      <c r="M151" s="17"/>
      <c r="Q151" s="86"/>
    </row>
    <row r="152" spans="5:17" ht="12">
      <c r="E152" s="38"/>
      <c r="G152" s="5"/>
      <c r="H152" s="5"/>
      <c r="I152" s="48"/>
      <c r="J152" s="17"/>
      <c r="K152" s="5"/>
      <c r="L152" s="48"/>
      <c r="M152" s="17"/>
      <c r="Q152" s="86"/>
    </row>
    <row r="153" spans="5:17" ht="10.5" customHeight="1">
      <c r="E153" s="38"/>
      <c r="G153" s="5"/>
      <c r="H153" s="5"/>
      <c r="I153" s="48"/>
      <c r="J153" s="17"/>
      <c r="K153" s="5"/>
      <c r="L153" s="48"/>
      <c r="M153" s="17"/>
      <c r="Q153" s="86"/>
    </row>
    <row r="154" spans="5:17" ht="11.25" customHeight="1" hidden="1">
      <c r="E154" s="38"/>
      <c r="G154" s="5"/>
      <c r="H154" s="5"/>
      <c r="I154" s="48"/>
      <c r="J154" s="17"/>
      <c r="K154" s="5"/>
      <c r="L154" s="48"/>
      <c r="M154" s="17"/>
      <c r="Q154" s="86"/>
    </row>
    <row r="155" spans="5:17" ht="3" customHeight="1" hidden="1">
      <c r="E155" s="38"/>
      <c r="G155" s="5"/>
      <c r="H155" s="5"/>
      <c r="I155" s="48"/>
      <c r="J155" s="17"/>
      <c r="K155" s="5"/>
      <c r="L155" s="48"/>
      <c r="M155" s="17"/>
      <c r="Q155" s="86"/>
    </row>
    <row r="156" spans="5:17" ht="12" hidden="1">
      <c r="E156" s="38"/>
      <c r="G156" s="5"/>
      <c r="H156" s="5"/>
      <c r="I156" s="48"/>
      <c r="J156" s="17"/>
      <c r="K156" s="5"/>
      <c r="L156" s="48"/>
      <c r="M156" s="17"/>
      <c r="Q156" s="86"/>
    </row>
    <row r="157" spans="3:17" ht="12">
      <c r="C157" s="5" t="s">
        <v>221</v>
      </c>
      <c r="E157" s="38"/>
      <c r="G157" s="5"/>
      <c r="H157" s="5"/>
      <c r="I157" s="48"/>
      <c r="J157" s="17"/>
      <c r="K157" s="5"/>
      <c r="L157" s="48"/>
      <c r="M157" s="17"/>
      <c r="Q157" s="86"/>
    </row>
    <row r="158" spans="5:17" ht="12">
      <c r="E158" s="38"/>
      <c r="G158" s="5"/>
      <c r="H158" s="5"/>
      <c r="I158" s="48"/>
      <c r="J158" s="17"/>
      <c r="K158" s="5"/>
      <c r="L158" s="48"/>
      <c r="M158" s="17"/>
      <c r="Q158" s="86"/>
    </row>
    <row r="159" spans="2:17" ht="12.75">
      <c r="B159" s="83"/>
      <c r="C159" s="84"/>
      <c r="D159" s="85"/>
      <c r="E159" s="85"/>
      <c r="F159" s="85"/>
      <c r="G159" s="5"/>
      <c r="H159" s="5"/>
      <c r="I159" s="48"/>
      <c r="J159" s="17"/>
      <c r="K159" s="5"/>
      <c r="L159" s="48"/>
      <c r="M159" s="17"/>
      <c r="Q159" s="86"/>
    </row>
    <row r="160" spans="2:17" ht="12.75">
      <c r="B160" s="83"/>
      <c r="C160" s="84"/>
      <c r="D160" s="85"/>
      <c r="E160" s="85"/>
      <c r="F160" s="85"/>
      <c r="G160" s="5"/>
      <c r="H160" s="5"/>
      <c r="I160" s="48"/>
      <c r="J160" s="17"/>
      <c r="K160" s="5"/>
      <c r="L160" s="48"/>
      <c r="M160" s="17"/>
      <c r="Q160" s="86"/>
    </row>
    <row r="161" spans="5:17" ht="12">
      <c r="E161" s="38"/>
      <c r="G161" s="5"/>
      <c r="H161" s="5"/>
      <c r="I161" s="48"/>
      <c r="J161" s="17"/>
      <c r="K161" s="5"/>
      <c r="L161" s="48"/>
      <c r="M161" s="17"/>
      <c r="Q161" s="86"/>
    </row>
    <row r="162" spans="5:17" ht="12">
      <c r="E162" s="38"/>
      <c r="G162" s="5"/>
      <c r="H162" s="5"/>
      <c r="I162" s="48"/>
      <c r="J162" s="17"/>
      <c r="K162" s="5"/>
      <c r="L162" s="48"/>
      <c r="M162" s="17"/>
      <c r="Q162" s="86"/>
    </row>
    <row r="163" spans="5:17" ht="12">
      <c r="E163" s="38"/>
      <c r="G163" s="5"/>
      <c r="H163" s="5"/>
      <c r="I163" s="48"/>
      <c r="J163" s="17"/>
      <c r="K163" s="5"/>
      <c r="L163" s="48"/>
      <c r="M163" s="17"/>
      <c r="Q163" s="86"/>
    </row>
    <row r="164" spans="5:17" ht="12">
      <c r="E164" s="38"/>
      <c r="G164" s="5"/>
      <c r="H164" s="5"/>
      <c r="I164" s="48"/>
      <c r="J164" s="17"/>
      <c r="K164" s="5"/>
      <c r="L164" s="48"/>
      <c r="M164" s="17"/>
      <c r="Q164" s="86"/>
    </row>
    <row r="165" spans="5:17" ht="12">
      <c r="E165" s="38"/>
      <c r="G165" s="5"/>
      <c r="H165" s="5"/>
      <c r="I165" s="48"/>
      <c r="J165" s="17"/>
      <c r="K165" s="5"/>
      <c r="L165" s="48"/>
      <c r="M165" s="17"/>
      <c r="Q165" s="86"/>
    </row>
    <row r="166" spans="5:17" ht="12">
      <c r="E166" s="38"/>
      <c r="G166" s="5"/>
      <c r="H166" s="5"/>
      <c r="I166" s="48"/>
      <c r="J166" s="17"/>
      <c r="K166" s="5"/>
      <c r="L166" s="48"/>
      <c r="M166" s="17"/>
      <c r="Q166" s="86"/>
    </row>
    <row r="167" spans="5:17" ht="12">
      <c r="E167" s="38"/>
      <c r="G167" s="5"/>
      <c r="H167" s="5"/>
      <c r="I167" s="48"/>
      <c r="J167" s="17"/>
      <c r="K167" s="5"/>
      <c r="L167" s="48"/>
      <c r="M167" s="17"/>
      <c r="Q167" s="86"/>
    </row>
    <row r="168" spans="5:17" ht="12">
      <c r="E168" s="38"/>
      <c r="G168" s="5"/>
      <c r="H168" s="5"/>
      <c r="I168" s="48"/>
      <c r="J168" s="17"/>
      <c r="K168" s="5"/>
      <c r="L168" s="48"/>
      <c r="M168" s="17"/>
      <c r="Q168" s="86"/>
    </row>
    <row r="169" spans="5:17" ht="12">
      <c r="E169" s="38"/>
      <c r="G169" s="5"/>
      <c r="H169" s="5"/>
      <c r="I169" s="48"/>
      <c r="J169" s="17"/>
      <c r="K169" s="5"/>
      <c r="L169" s="48"/>
      <c r="M169" s="17"/>
      <c r="Q169" s="86"/>
    </row>
    <row r="170" spans="5:17" ht="12">
      <c r="E170" s="38"/>
      <c r="G170" s="5"/>
      <c r="H170" s="5"/>
      <c r="I170" s="48"/>
      <c r="J170" s="17"/>
      <c r="K170" s="5"/>
      <c r="L170" s="48"/>
      <c r="M170" s="17"/>
      <c r="Q170" s="86"/>
    </row>
    <row r="171" spans="5:17" ht="12">
      <c r="E171" s="38"/>
      <c r="G171" s="5"/>
      <c r="H171" s="5"/>
      <c r="I171" s="48"/>
      <c r="J171" s="17"/>
      <c r="K171" s="5"/>
      <c r="L171" s="48"/>
      <c r="M171" s="17"/>
      <c r="Q171" s="86"/>
    </row>
    <row r="172" spans="5:17" ht="12">
      <c r="E172" s="38"/>
      <c r="F172" s="38"/>
      <c r="G172" s="86"/>
      <c r="I172" s="86"/>
      <c r="J172" s="86"/>
      <c r="K172" s="86"/>
      <c r="M172" s="86"/>
      <c r="Q172" s="86"/>
    </row>
    <row r="173" spans="1:17" ht="12">
      <c r="A173" s="70" t="str">
        <f>$A$82</f>
        <v>Institution No.:  GFD</v>
      </c>
      <c r="E173" s="38"/>
      <c r="F173" s="38"/>
      <c r="G173" s="86"/>
      <c r="H173" s="86"/>
      <c r="I173" s="86"/>
      <c r="J173" s="86"/>
      <c r="L173" s="86"/>
      <c r="M173" s="212" t="s">
        <v>128</v>
      </c>
      <c r="N173" s="71"/>
      <c r="O173" s="34"/>
      <c r="P173" s="382"/>
      <c r="Q173" s="86"/>
    </row>
    <row r="174" spans="1:17" s="21" customFormat="1" ht="12">
      <c r="A174" s="423" t="s">
        <v>129</v>
      </c>
      <c r="B174" s="423"/>
      <c r="C174" s="423"/>
      <c r="D174" s="423"/>
      <c r="E174" s="423"/>
      <c r="F174" s="423"/>
      <c r="G174" s="423"/>
      <c r="H174" s="423"/>
      <c r="I174" s="423"/>
      <c r="J174" s="423"/>
      <c r="K174" s="423"/>
      <c r="L174" s="423"/>
      <c r="M174" s="423"/>
      <c r="N174" s="26"/>
      <c r="O174" s="383"/>
      <c r="P174" s="384"/>
      <c r="Q174" s="87"/>
    </row>
    <row r="175" spans="1:17" ht="12">
      <c r="A175" s="70" t="str">
        <f>$A$84</f>
        <v>NAME: University of Colorado - Denver</v>
      </c>
      <c r="J175" s="86"/>
      <c r="L175" s="86"/>
      <c r="M175" s="213" t="str">
        <f>$M$3</f>
        <v>Date: 10/1/2007</v>
      </c>
      <c r="N175" s="71"/>
      <c r="O175" s="34"/>
      <c r="P175" s="382"/>
      <c r="Q175" s="86"/>
    </row>
    <row r="176" spans="1:13" ht="12">
      <c r="A176" s="15" t="s">
        <v>1</v>
      </c>
      <c r="B176" s="15" t="s">
        <v>1</v>
      </c>
      <c r="C176" s="15" t="s">
        <v>1</v>
      </c>
      <c r="D176" s="15" t="s">
        <v>1</v>
      </c>
      <c r="E176" s="15" t="s">
        <v>1</v>
      </c>
      <c r="F176" s="15"/>
      <c r="G176" s="176" t="s">
        <v>1</v>
      </c>
      <c r="H176" s="176" t="s">
        <v>1</v>
      </c>
      <c r="I176" s="176" t="s">
        <v>1</v>
      </c>
      <c r="J176" s="176" t="s">
        <v>1</v>
      </c>
      <c r="K176" s="176" t="s">
        <v>1</v>
      </c>
      <c r="L176" s="176" t="s">
        <v>1</v>
      </c>
      <c r="M176" s="176" t="s">
        <v>1</v>
      </c>
    </row>
    <row r="177" spans="1:13" ht="12">
      <c r="A177" s="73" t="s">
        <v>2</v>
      </c>
      <c r="E177" s="73" t="s">
        <v>2</v>
      </c>
      <c r="F177" s="73"/>
      <c r="G177" s="86"/>
      <c r="H177" s="123" t="str">
        <f>$H$86</f>
        <v>2005-06</v>
      </c>
      <c r="I177" s="86"/>
      <c r="J177" s="123" t="str">
        <f>$J$86</f>
        <v>2006-07</v>
      </c>
      <c r="L177" s="86"/>
      <c r="M177" s="123" t="str">
        <f>$M$86</f>
        <v>2007-08</v>
      </c>
    </row>
    <row r="178" spans="1:13" ht="12">
      <c r="A178" s="73" t="s">
        <v>4</v>
      </c>
      <c r="E178" s="73" t="s">
        <v>4</v>
      </c>
      <c r="F178" s="73"/>
      <c r="G178" s="86"/>
      <c r="H178" s="123" t="s">
        <v>7</v>
      </c>
      <c r="I178" s="86"/>
      <c r="J178" s="123" t="s">
        <v>7</v>
      </c>
      <c r="L178" s="86"/>
      <c r="M178" s="123" t="s">
        <v>8</v>
      </c>
    </row>
    <row r="179" spans="1:13" ht="12">
      <c r="A179" s="15" t="s">
        <v>1</v>
      </c>
      <c r="B179" s="15" t="s">
        <v>1</v>
      </c>
      <c r="C179" s="15" t="s">
        <v>1</v>
      </c>
      <c r="D179" s="15" t="s">
        <v>1</v>
      </c>
      <c r="E179" s="15" t="s">
        <v>1</v>
      </c>
      <c r="F179" s="15"/>
      <c r="G179" s="176" t="s">
        <v>1</v>
      </c>
      <c r="H179" s="176" t="s">
        <v>1</v>
      </c>
      <c r="I179" s="176" t="s">
        <v>1</v>
      </c>
      <c r="J179" s="176" t="s">
        <v>1</v>
      </c>
      <c r="K179" s="176" t="s">
        <v>1</v>
      </c>
      <c r="L179" s="176" t="s">
        <v>1</v>
      </c>
      <c r="M179" s="176" t="s">
        <v>1</v>
      </c>
    </row>
    <row r="180" spans="1:13" ht="12">
      <c r="A180" s="41">
        <v>1</v>
      </c>
      <c r="C180" s="4" t="s">
        <v>130</v>
      </c>
      <c r="E180" s="41">
        <v>1</v>
      </c>
      <c r="F180" s="41"/>
      <c r="G180" s="86"/>
      <c r="H180" s="86"/>
      <c r="I180" s="86"/>
      <c r="J180" s="194"/>
      <c r="L180" s="86"/>
      <c r="M180" s="195"/>
    </row>
    <row r="181" spans="1:13" ht="12">
      <c r="A181" s="14" t="s">
        <v>228</v>
      </c>
      <c r="C181" s="4" t="s">
        <v>231</v>
      </c>
      <c r="E181" s="14" t="str">
        <f>A181</f>
        <v>2A</v>
      </c>
      <c r="F181" s="14"/>
      <c r="G181" s="86"/>
      <c r="H181" s="48"/>
      <c r="I181" s="6"/>
      <c r="J181" s="196"/>
      <c r="K181" s="6"/>
      <c r="L181" s="6"/>
      <c r="M181" s="197"/>
    </row>
    <row r="182" spans="1:13" ht="12">
      <c r="A182" s="14" t="s">
        <v>229</v>
      </c>
      <c r="C182" s="4" t="s">
        <v>232</v>
      </c>
      <c r="E182" s="14" t="str">
        <f>A182</f>
        <v>2B</v>
      </c>
      <c r="F182" s="14"/>
      <c r="G182" s="86"/>
      <c r="H182" s="196">
        <v>0</v>
      </c>
      <c r="I182" s="6"/>
      <c r="J182" s="196"/>
      <c r="K182" s="6"/>
      <c r="L182" s="6"/>
      <c r="M182" s="197"/>
    </row>
    <row r="183" spans="1:13" ht="12">
      <c r="A183" s="47" t="s">
        <v>230</v>
      </c>
      <c r="C183" s="4" t="s">
        <v>233</v>
      </c>
      <c r="E183" s="14" t="str">
        <f>A183</f>
        <v>2C</v>
      </c>
      <c r="F183" s="14"/>
      <c r="G183" s="86"/>
      <c r="H183" s="196">
        <v>5878.3</v>
      </c>
      <c r="I183" s="6"/>
      <c r="J183" s="196">
        <v>6106.8</v>
      </c>
      <c r="K183" s="6"/>
      <c r="L183" s="6"/>
      <c r="M183" s="197">
        <v>6199</v>
      </c>
    </row>
    <row r="184" spans="1:13" ht="12">
      <c r="A184" s="41">
        <v>3</v>
      </c>
      <c r="C184" s="4" t="s">
        <v>131</v>
      </c>
      <c r="E184" s="41">
        <v>3</v>
      </c>
      <c r="F184" s="41"/>
      <c r="G184" s="86"/>
      <c r="H184" s="196">
        <v>2178.4</v>
      </c>
      <c r="I184" s="6"/>
      <c r="J184" s="196">
        <v>2099.2</v>
      </c>
      <c r="K184" s="6"/>
      <c r="L184" s="6"/>
      <c r="M184" s="197">
        <v>2058</v>
      </c>
    </row>
    <row r="185" spans="1:13" ht="12">
      <c r="A185" s="41">
        <v>4</v>
      </c>
      <c r="C185" s="4" t="s">
        <v>132</v>
      </c>
      <c r="E185" s="41">
        <v>4</v>
      </c>
      <c r="F185" s="41"/>
      <c r="G185" s="86"/>
      <c r="H185" s="6">
        <f>SUM(H182:H184)</f>
        <v>8056.700000000001</v>
      </c>
      <c r="I185" s="6"/>
      <c r="J185" s="196">
        <v>8206</v>
      </c>
      <c r="K185" s="6"/>
      <c r="L185" s="6"/>
      <c r="M185" s="197">
        <v>8257</v>
      </c>
    </row>
    <row r="186" spans="1:13" ht="12">
      <c r="A186" s="41">
        <v>5</v>
      </c>
      <c r="E186" s="41">
        <v>5</v>
      </c>
      <c r="F186" s="41"/>
      <c r="G186" s="86"/>
      <c r="H186" s="6"/>
      <c r="I186" s="6"/>
      <c r="J186" s="196"/>
      <c r="K186" s="6"/>
      <c r="L186" s="6"/>
      <c r="M186" s="197"/>
    </row>
    <row r="187" spans="1:13" ht="12">
      <c r="A187" s="41">
        <v>6</v>
      </c>
      <c r="C187" s="4" t="s">
        <v>133</v>
      </c>
      <c r="E187" s="41">
        <v>6</v>
      </c>
      <c r="F187" s="41"/>
      <c r="G187" s="86"/>
      <c r="H187" s="196">
        <v>350.3</v>
      </c>
      <c r="I187" s="6"/>
      <c r="J187" s="196">
        <v>382.9</v>
      </c>
      <c r="K187" s="6"/>
      <c r="L187" s="6"/>
      <c r="M187" s="197">
        <v>393</v>
      </c>
    </row>
    <row r="188" spans="1:13" ht="12">
      <c r="A188" s="41">
        <v>7</v>
      </c>
      <c r="C188" s="4" t="s">
        <v>134</v>
      </c>
      <c r="E188" s="41">
        <v>7</v>
      </c>
      <c r="F188" s="41"/>
      <c r="G188" s="86"/>
      <c r="H188" s="198">
        <v>255.7</v>
      </c>
      <c r="I188" s="6"/>
      <c r="J188" s="198">
        <v>255.2</v>
      </c>
      <c r="K188" s="6"/>
      <c r="L188" s="6"/>
      <c r="M188" s="197">
        <v>249</v>
      </c>
    </row>
    <row r="189" spans="1:13" ht="12">
      <c r="A189" s="41">
        <v>8</v>
      </c>
      <c r="C189" s="4" t="s">
        <v>135</v>
      </c>
      <c r="E189" s="41">
        <v>8</v>
      </c>
      <c r="F189" s="41"/>
      <c r="G189" s="86"/>
      <c r="H189" s="6">
        <f>SUM(H187:H188)</f>
        <v>606</v>
      </c>
      <c r="I189" s="6"/>
      <c r="J189" s="196">
        <v>638.1</v>
      </c>
      <c r="K189" s="6"/>
      <c r="L189" s="6"/>
      <c r="M189" s="197">
        <v>642</v>
      </c>
    </row>
    <row r="190" spans="1:13" ht="12">
      <c r="A190" s="41">
        <v>9</v>
      </c>
      <c r="E190" s="41">
        <v>9</v>
      </c>
      <c r="F190" s="41"/>
      <c r="G190" s="86"/>
      <c r="H190" s="48"/>
      <c r="I190" s="6"/>
      <c r="J190" s="199"/>
      <c r="K190" s="6"/>
      <c r="L190" s="6"/>
      <c r="M190" s="200"/>
    </row>
    <row r="191" spans="1:13" ht="12">
      <c r="A191" s="41">
        <v>10</v>
      </c>
      <c r="C191" s="4" t="s">
        <v>136</v>
      </c>
      <c r="E191" s="41">
        <v>10</v>
      </c>
      <c r="F191" s="41"/>
      <c r="G191" s="86"/>
      <c r="H191" s="196">
        <v>6228.6</v>
      </c>
      <c r="I191" s="6"/>
      <c r="J191" s="196">
        <v>6489.7</v>
      </c>
      <c r="K191" s="6"/>
      <c r="L191" s="6"/>
      <c r="M191" s="196">
        <v>6592</v>
      </c>
    </row>
    <row r="192" spans="1:13" ht="12">
      <c r="A192" s="41">
        <v>11</v>
      </c>
      <c r="C192" s="4" t="s">
        <v>137</v>
      </c>
      <c r="E192" s="41">
        <v>11</v>
      </c>
      <c r="F192" s="41"/>
      <c r="G192" s="86"/>
      <c r="H192" s="196">
        <v>2434.1</v>
      </c>
      <c r="I192" s="6"/>
      <c r="J192" s="196">
        <v>2354.4</v>
      </c>
      <c r="K192" s="6"/>
      <c r="L192" s="6"/>
      <c r="M192" s="196">
        <v>2307</v>
      </c>
    </row>
    <row r="193" spans="1:13" ht="12">
      <c r="A193" s="41">
        <v>12</v>
      </c>
      <c r="C193" s="4" t="s">
        <v>138</v>
      </c>
      <c r="E193" s="41">
        <v>12</v>
      </c>
      <c r="F193" s="41"/>
      <c r="G193" s="86"/>
      <c r="H193" s="6">
        <f>SUM(H191:H192)</f>
        <v>8662.7</v>
      </c>
      <c r="I193" s="6"/>
      <c r="J193" s="196">
        <v>8844.1</v>
      </c>
      <c r="K193" s="6"/>
      <c r="L193" s="6"/>
      <c r="M193" s="197">
        <v>8899</v>
      </c>
    </row>
    <row r="194" spans="1:13" ht="12">
      <c r="A194" s="41">
        <v>13</v>
      </c>
      <c r="E194" s="41">
        <v>13</v>
      </c>
      <c r="F194" s="41"/>
      <c r="G194" s="86"/>
      <c r="H194" s="86"/>
      <c r="I194" s="86"/>
      <c r="J194" s="86"/>
      <c r="L194" s="86"/>
      <c r="M194" s="86"/>
    </row>
    <row r="195" spans="1:13" ht="12">
      <c r="A195" s="41">
        <v>15</v>
      </c>
      <c r="C195" s="4" t="s">
        <v>139</v>
      </c>
      <c r="E195" s="41">
        <f>+A195</f>
        <v>15</v>
      </c>
      <c r="F195" s="41"/>
      <c r="G195" s="86"/>
      <c r="H195" s="86"/>
      <c r="I195" s="86"/>
      <c r="J195" s="86"/>
      <c r="L195" s="86"/>
      <c r="M195" s="86"/>
    </row>
    <row r="196" spans="1:13" ht="12">
      <c r="A196" s="41">
        <f>+A195+1</f>
        <v>16</v>
      </c>
      <c r="C196" s="4" t="s">
        <v>376</v>
      </c>
      <c r="E196" s="41">
        <f>+A196</f>
        <v>16</v>
      </c>
      <c r="F196" s="41"/>
      <c r="G196" s="86"/>
      <c r="H196" s="86">
        <v>11861.126900389023</v>
      </c>
      <c r="I196" s="86"/>
      <c r="J196" s="86">
        <f>(J116-J483)/J193</f>
        <v>12061.50982010606</v>
      </c>
      <c r="L196" s="86"/>
      <c r="M196" s="86">
        <f>(M116-M483)/M193</f>
        <v>12729.282728396449</v>
      </c>
    </row>
    <row r="197" spans="1:13" ht="12">
      <c r="A197" s="41">
        <v>16</v>
      </c>
      <c r="C197" s="4" t="s">
        <v>487</v>
      </c>
      <c r="E197" s="41">
        <v>16</v>
      </c>
      <c r="F197" s="41"/>
      <c r="G197" s="86"/>
      <c r="H197" s="86">
        <v>2400</v>
      </c>
      <c r="I197" s="86"/>
      <c r="J197" s="86">
        <v>2580</v>
      </c>
      <c r="L197" s="86"/>
      <c r="M197" s="86">
        <v>2670</v>
      </c>
    </row>
    <row r="198" spans="1:13" ht="12">
      <c r="A198" s="41">
        <v>17</v>
      </c>
      <c r="E198" s="41">
        <v>17</v>
      </c>
      <c r="F198" s="41"/>
      <c r="G198" s="86"/>
      <c r="H198" s="86"/>
      <c r="I198" s="86"/>
      <c r="J198" s="86"/>
      <c r="L198" s="86"/>
      <c r="M198" s="86"/>
    </row>
    <row r="199" spans="1:13" ht="12">
      <c r="A199" s="41">
        <v>18</v>
      </c>
      <c r="C199" s="4" t="s">
        <v>140</v>
      </c>
      <c r="E199" s="5">
        <v>18</v>
      </c>
      <c r="G199" s="86"/>
      <c r="H199" s="86"/>
      <c r="I199" s="86"/>
      <c r="J199" s="86"/>
      <c r="L199" s="86"/>
      <c r="M199" s="86"/>
    </row>
    <row r="200" spans="1:13" ht="12">
      <c r="A200" s="41">
        <v>19</v>
      </c>
      <c r="C200" s="4" t="s">
        <v>141</v>
      </c>
      <c r="E200" s="41">
        <v>19</v>
      </c>
      <c r="F200" s="41"/>
      <c r="G200" s="86"/>
      <c r="H200" s="71">
        <f>+G612</f>
        <v>631.4</v>
      </c>
      <c r="I200" s="201"/>
      <c r="J200" s="71">
        <f>+I612</f>
        <v>686.8797793422815</v>
      </c>
      <c r="K200" s="201"/>
      <c r="L200" s="201"/>
      <c r="M200" s="202">
        <f>L612</f>
        <v>668.51</v>
      </c>
    </row>
    <row r="201" spans="1:13" ht="12">
      <c r="A201" s="41">
        <v>20</v>
      </c>
      <c r="C201" s="4" t="s">
        <v>142</v>
      </c>
      <c r="E201" s="41">
        <v>20</v>
      </c>
      <c r="F201" s="41"/>
      <c r="G201" s="86"/>
      <c r="H201" s="202">
        <f>G609</f>
        <v>479.2</v>
      </c>
      <c r="I201" s="201"/>
      <c r="J201" s="71">
        <f>I609</f>
        <v>478.5332062544892</v>
      </c>
      <c r="K201" s="201"/>
      <c r="L201" s="201"/>
      <c r="M201" s="202">
        <f>L609</f>
        <v>510.43</v>
      </c>
    </row>
    <row r="202" spans="1:13" ht="12">
      <c r="A202" s="41">
        <v>21</v>
      </c>
      <c r="C202" s="4" t="s">
        <v>143</v>
      </c>
      <c r="E202" s="41">
        <v>21</v>
      </c>
      <c r="F202" s="41"/>
      <c r="G202" s="86"/>
      <c r="H202" s="202">
        <f>G611</f>
        <v>152.2</v>
      </c>
      <c r="I202" s="201"/>
      <c r="J202" s="71">
        <f>I611</f>
        <v>208.3465730877923</v>
      </c>
      <c r="K202" s="201"/>
      <c r="L202" s="201"/>
      <c r="M202" s="202">
        <f>L611</f>
        <v>158.08</v>
      </c>
    </row>
    <row r="203" spans="1:13" ht="12">
      <c r="A203" s="41">
        <v>22</v>
      </c>
      <c r="E203" s="41">
        <v>22</v>
      </c>
      <c r="F203" s="41"/>
      <c r="G203" s="86"/>
      <c r="H203" s="179"/>
      <c r="I203" s="179"/>
      <c r="J203" s="179"/>
      <c r="K203" s="179"/>
      <c r="L203" s="179"/>
      <c r="M203" s="179"/>
    </row>
    <row r="204" spans="1:13" ht="12">
      <c r="A204" s="41">
        <v>23</v>
      </c>
      <c r="C204" s="4" t="s">
        <v>144</v>
      </c>
      <c r="E204" s="41">
        <v>23</v>
      </c>
      <c r="F204" s="41"/>
      <c r="G204" s="86"/>
      <c r="H204" s="179"/>
      <c r="I204" s="179"/>
      <c r="J204" s="179"/>
      <c r="K204" s="179"/>
      <c r="L204" s="179"/>
      <c r="M204" s="179"/>
    </row>
    <row r="205" spans="1:13" ht="12">
      <c r="A205" s="41">
        <v>24</v>
      </c>
      <c r="C205" s="4" t="s">
        <v>145</v>
      </c>
      <c r="E205" s="41">
        <v>24</v>
      </c>
      <c r="F205" s="41"/>
      <c r="G205" s="86"/>
      <c r="H205" s="86">
        <f>IF(G612=0,0,H612/G612)</f>
        <v>71979.49952486539</v>
      </c>
      <c r="I205" s="86"/>
      <c r="J205" s="86">
        <f>IF(I612=0,0,J612/I612)</f>
        <v>72749.89088752758</v>
      </c>
      <c r="L205" s="86"/>
      <c r="M205" s="86">
        <f>IF(L612=0,0,M612/L612)</f>
        <v>79634.1909619901</v>
      </c>
    </row>
    <row r="206" spans="1:13" ht="12">
      <c r="A206" s="41">
        <v>25</v>
      </c>
      <c r="C206" s="4" t="s">
        <v>146</v>
      </c>
      <c r="E206" s="41">
        <v>25</v>
      </c>
      <c r="F206" s="41"/>
      <c r="G206" s="86"/>
      <c r="H206" s="86">
        <f>IF(H201=0,0,(H609+H610)/H201)</f>
        <v>84960.15859766277</v>
      </c>
      <c r="I206" s="86"/>
      <c r="J206" s="86">
        <f>IF(J201=0,0,(J609+J610)/J201)</f>
        <v>90404.30305476666</v>
      </c>
      <c r="L206" s="86"/>
      <c r="M206" s="86">
        <f>IF(M201=0,0,(M609+M610)/M201)</f>
        <v>93825.69990008425</v>
      </c>
    </row>
    <row r="207" spans="1:13" ht="12">
      <c r="A207" s="41">
        <v>26</v>
      </c>
      <c r="C207" s="4" t="s">
        <v>147</v>
      </c>
      <c r="E207" s="41">
        <v>26</v>
      </c>
      <c r="F207" s="41"/>
      <c r="G207" s="86"/>
      <c r="H207" s="86">
        <f>IF(H202=0,0,H611/H202)</f>
        <v>31110.039421813406</v>
      </c>
      <c r="I207" s="86"/>
      <c r="J207" s="86">
        <f>IF(J202=0,0,J611/J202)</f>
        <v>32201</v>
      </c>
      <c r="L207" s="86"/>
      <c r="M207" s="86">
        <f>IF(M202=0,0,M611/M202)</f>
        <v>33810.7350708502</v>
      </c>
    </row>
    <row r="208" spans="1:12" ht="12">
      <c r="A208" s="41">
        <v>27</v>
      </c>
      <c r="E208" s="41">
        <v>27</v>
      </c>
      <c r="F208" s="41"/>
      <c r="G208" s="86"/>
      <c r="I208" s="86"/>
      <c r="L208" s="86"/>
    </row>
    <row r="209" spans="1:13" ht="12">
      <c r="A209" s="41">
        <v>28</v>
      </c>
      <c r="C209" s="4" t="s">
        <v>148</v>
      </c>
      <c r="E209" s="41">
        <v>28</v>
      </c>
      <c r="F209" s="41"/>
      <c r="G209" s="86"/>
      <c r="H209" s="71">
        <f>G100</f>
        <v>1046.8600000000001</v>
      </c>
      <c r="I209" s="71"/>
      <c r="J209" s="71">
        <f>I100</f>
        <v>1080.992074452776</v>
      </c>
      <c r="K209" s="71"/>
      <c r="L209" s="71"/>
      <c r="M209" s="71">
        <f>L100</f>
        <v>1085.7</v>
      </c>
    </row>
    <row r="210" spans="1:13" ht="12">
      <c r="A210" s="4"/>
      <c r="J210" s="86"/>
      <c r="M210" s="86"/>
    </row>
    <row r="211" spans="1:13" ht="12">
      <c r="A211" s="4"/>
      <c r="J211" s="86"/>
      <c r="M211" s="86"/>
    </row>
    <row r="212" spans="1:13" ht="12" hidden="1">
      <c r="A212" s="4"/>
      <c r="J212" s="86"/>
      <c r="M212" s="86"/>
    </row>
    <row r="213" spans="1:13" ht="12" hidden="1">
      <c r="A213" s="4"/>
      <c r="J213" s="86"/>
      <c r="M213" s="86"/>
    </row>
    <row r="214" spans="1:13" ht="12" hidden="1">
      <c r="A214" s="4"/>
      <c r="J214" s="86"/>
      <c r="M214" s="86"/>
    </row>
    <row r="215" spans="1:13" ht="12">
      <c r="A215" s="4"/>
      <c r="J215" s="86"/>
      <c r="M215" s="86"/>
    </row>
    <row r="216" spans="1:13" ht="9.75" customHeight="1">
      <c r="A216" s="4"/>
      <c r="J216" s="86"/>
      <c r="M216" s="86"/>
    </row>
    <row r="217" spans="1:13" ht="12" hidden="1">
      <c r="A217" s="4"/>
      <c r="J217" s="86"/>
      <c r="M217" s="86"/>
    </row>
    <row r="218" spans="1:13" ht="12" hidden="1">
      <c r="A218" s="4"/>
      <c r="J218" s="86"/>
      <c r="M218" s="86"/>
    </row>
    <row r="219" spans="1:13" ht="12">
      <c r="A219" s="4"/>
      <c r="J219" s="86"/>
      <c r="M219" s="86"/>
    </row>
    <row r="220" spans="1:13" ht="12">
      <c r="A220" s="4"/>
      <c r="J220" s="86"/>
      <c r="M220" s="86"/>
    </row>
    <row r="221" spans="1:13" ht="0.75" customHeight="1">
      <c r="A221" s="4"/>
      <c r="J221" s="86"/>
      <c r="M221" s="86"/>
    </row>
    <row r="222" spans="1:13" ht="12">
      <c r="A222" s="4"/>
      <c r="J222" s="86"/>
      <c r="M222" s="86"/>
    </row>
    <row r="223" spans="5:17" ht="12">
      <c r="E223" s="38"/>
      <c r="F223" s="38"/>
      <c r="G223" s="86"/>
      <c r="I223" s="86"/>
      <c r="J223" s="86"/>
      <c r="K223" s="86"/>
      <c r="M223" s="86"/>
      <c r="Q223" s="86"/>
    </row>
    <row r="224" spans="5:17" ht="12">
      <c r="E224" s="38"/>
      <c r="F224" s="38"/>
      <c r="G224" s="86"/>
      <c r="I224" s="86"/>
      <c r="J224" s="86"/>
      <c r="K224" s="86"/>
      <c r="M224" s="86"/>
      <c r="Q224" s="86"/>
    </row>
    <row r="225" spans="1:17" ht="12">
      <c r="A225" s="70" t="str">
        <f>$A$82</f>
        <v>Institution No.:  GFD</v>
      </c>
      <c r="E225" s="38"/>
      <c r="F225" s="38"/>
      <c r="G225" s="86"/>
      <c r="H225" s="86"/>
      <c r="I225" s="86"/>
      <c r="J225" s="86"/>
      <c r="L225" s="86"/>
      <c r="M225" s="212" t="s">
        <v>149</v>
      </c>
      <c r="N225" s="71"/>
      <c r="O225" s="34"/>
      <c r="P225" s="382"/>
      <c r="Q225" s="86"/>
    </row>
    <row r="226" spans="1:17" s="21" customFormat="1" ht="12">
      <c r="A226" s="423" t="s">
        <v>490</v>
      </c>
      <c r="B226" s="423"/>
      <c r="C226" s="423"/>
      <c r="D226" s="423"/>
      <c r="E226" s="423"/>
      <c r="F226" s="423"/>
      <c r="G226" s="423"/>
      <c r="H226" s="423"/>
      <c r="I226" s="423"/>
      <c r="J226" s="423"/>
      <c r="K226" s="423"/>
      <c r="L226" s="423"/>
      <c r="M226" s="423"/>
      <c r="N226" s="26"/>
      <c r="O226" s="383"/>
      <c r="P226" s="384"/>
      <c r="Q226" s="87"/>
    </row>
    <row r="227" spans="1:17" ht="12">
      <c r="A227" s="70" t="str">
        <f>$A$84</f>
        <v>NAME: University of Colorado - Denver</v>
      </c>
      <c r="J227" s="86"/>
      <c r="L227" s="86"/>
      <c r="M227" s="213" t="str">
        <f>$M$3</f>
        <v>Date: 10/1/2007</v>
      </c>
      <c r="N227" s="71"/>
      <c r="O227" s="34"/>
      <c r="P227" s="382"/>
      <c r="Q227" s="86"/>
    </row>
    <row r="228" spans="1:13" ht="12">
      <c r="A228" s="15" t="s">
        <v>1</v>
      </c>
      <c r="B228" s="15" t="s">
        <v>1</v>
      </c>
      <c r="C228" s="15" t="s">
        <v>1</v>
      </c>
      <c r="D228" s="15" t="s">
        <v>1</v>
      </c>
      <c r="E228" s="15" t="s">
        <v>1</v>
      </c>
      <c r="F228" s="15"/>
      <c r="G228" s="176" t="s">
        <v>1</v>
      </c>
      <c r="H228" s="176" t="s">
        <v>1</v>
      </c>
      <c r="I228" s="176" t="s">
        <v>1</v>
      </c>
      <c r="J228" s="176" t="s">
        <v>1</v>
      </c>
      <c r="K228" s="176" t="s">
        <v>1</v>
      </c>
      <c r="L228" s="176" t="s">
        <v>1</v>
      </c>
      <c r="M228" s="176" t="s">
        <v>1</v>
      </c>
    </row>
    <row r="229" spans="1:13" ht="12">
      <c r="A229" s="73" t="s">
        <v>2</v>
      </c>
      <c r="E229" s="73" t="s">
        <v>2</v>
      </c>
      <c r="F229" s="73"/>
      <c r="G229" s="86"/>
      <c r="H229" s="123" t="s">
        <v>280</v>
      </c>
      <c r="I229" s="86"/>
      <c r="J229" s="123" t="s">
        <v>289</v>
      </c>
      <c r="L229" s="86"/>
      <c r="M229" s="123"/>
    </row>
    <row r="230" spans="1:13" ht="12">
      <c r="A230" s="73" t="s">
        <v>4</v>
      </c>
      <c r="C230" s="4" t="s">
        <v>0</v>
      </c>
      <c r="E230" s="73" t="s">
        <v>4</v>
      </c>
      <c r="F230" s="73"/>
      <c r="G230" s="86"/>
      <c r="H230" s="123" t="s">
        <v>7</v>
      </c>
      <c r="I230" s="86"/>
      <c r="J230" s="123" t="s">
        <v>7</v>
      </c>
      <c r="L230" s="86"/>
      <c r="M230" s="123" t="s">
        <v>307</v>
      </c>
    </row>
    <row r="231" spans="1:13" ht="12">
      <c r="A231" s="15" t="s">
        <v>1</v>
      </c>
      <c r="B231" s="15" t="s">
        <v>1</v>
      </c>
      <c r="C231" s="15" t="s">
        <v>1</v>
      </c>
      <c r="D231" s="15" t="s">
        <v>1</v>
      </c>
      <c r="E231" s="15" t="s">
        <v>1</v>
      </c>
      <c r="F231" s="15"/>
      <c r="G231" s="176" t="s">
        <v>1</v>
      </c>
      <c r="H231" s="176" t="s">
        <v>1</v>
      </c>
      <c r="I231" s="176" t="s">
        <v>1</v>
      </c>
      <c r="J231" s="176" t="s">
        <v>1</v>
      </c>
      <c r="K231" s="176" t="s">
        <v>1</v>
      </c>
      <c r="L231" s="176" t="s">
        <v>1</v>
      </c>
      <c r="M231" s="176" t="s">
        <v>1</v>
      </c>
    </row>
    <row r="232" spans="1:13" ht="12">
      <c r="A232" s="41">
        <v>1</v>
      </c>
      <c r="C232" s="4" t="s">
        <v>150</v>
      </c>
      <c r="E232" s="41">
        <v>1</v>
      </c>
      <c r="F232" s="41"/>
      <c r="G232" s="86"/>
      <c r="H232" s="86"/>
      <c r="I232" s="86"/>
      <c r="J232" s="86"/>
      <c r="L232" s="86"/>
      <c r="M232" s="86"/>
    </row>
    <row r="233" spans="1:13" ht="12">
      <c r="A233" s="41">
        <f aca="true" t="shared" si="2" ref="A233:A259">(A232+1)</f>
        <v>2</v>
      </c>
      <c r="C233" s="4"/>
      <c r="E233" s="41">
        <f aca="true" t="shared" si="3" ref="E233:E259">(E232+1)</f>
        <v>2</v>
      </c>
      <c r="F233" s="41"/>
      <c r="G233" s="86"/>
      <c r="H233" s="86"/>
      <c r="I233" s="86"/>
      <c r="J233" s="385"/>
      <c r="K233" s="86"/>
      <c r="L233" s="86"/>
      <c r="M233" s="386"/>
    </row>
    <row r="234" spans="1:13" ht="12">
      <c r="A234" s="41">
        <f t="shared" si="2"/>
        <v>3</v>
      </c>
      <c r="C234" s="4" t="s">
        <v>571</v>
      </c>
      <c r="E234" s="41">
        <f t="shared" si="3"/>
        <v>3</v>
      </c>
      <c r="F234" s="41"/>
      <c r="G234" s="86"/>
      <c r="H234" s="192">
        <v>4330</v>
      </c>
      <c r="I234" s="86"/>
      <c r="J234" s="192">
        <f>2527*2</f>
        <v>5054</v>
      </c>
      <c r="K234" s="86"/>
      <c r="L234" s="86"/>
      <c r="M234" s="138">
        <f>(J234-H234)/H234</f>
        <v>0.1672055427251732</v>
      </c>
    </row>
    <row r="235" spans="1:13" ht="12">
      <c r="A235" s="41">
        <f t="shared" si="2"/>
        <v>4</v>
      </c>
      <c r="C235" s="1" t="s">
        <v>572</v>
      </c>
      <c r="E235" s="41">
        <f t="shared" si="3"/>
        <v>4</v>
      </c>
      <c r="F235" s="41"/>
      <c r="G235" s="86"/>
      <c r="H235" s="192">
        <v>4330</v>
      </c>
      <c r="I235" s="86"/>
      <c r="J235" s="192">
        <f>2527*2</f>
        <v>5054</v>
      </c>
      <c r="L235" s="86"/>
      <c r="M235" s="138">
        <f>(J235-H235)/H235</f>
        <v>0.1672055427251732</v>
      </c>
    </row>
    <row r="236" spans="1:13" ht="12">
      <c r="A236" s="41">
        <f t="shared" si="2"/>
        <v>5</v>
      </c>
      <c r="C236" s="5" t="s">
        <v>573</v>
      </c>
      <c r="E236" s="41">
        <f t="shared" si="3"/>
        <v>5</v>
      </c>
      <c r="F236" s="41"/>
      <c r="G236" s="86"/>
      <c r="H236" s="192">
        <v>4806</v>
      </c>
      <c r="I236" s="86"/>
      <c r="J236" s="192">
        <v>5184</v>
      </c>
      <c r="K236" s="86"/>
      <c r="L236" s="86"/>
      <c r="M236" s="138">
        <f>(J236-H236)/H236</f>
        <v>0.07865168539325842</v>
      </c>
    </row>
    <row r="237" spans="1:13" ht="12">
      <c r="A237" s="41">
        <f t="shared" si="2"/>
        <v>6</v>
      </c>
      <c r="C237" s="1" t="s">
        <v>574</v>
      </c>
      <c r="E237" s="41">
        <f t="shared" si="3"/>
        <v>6</v>
      </c>
      <c r="F237" s="41"/>
      <c r="G237" s="86"/>
      <c r="H237" s="86">
        <v>4330</v>
      </c>
      <c r="I237" s="86"/>
      <c r="J237" s="192">
        <v>5184</v>
      </c>
      <c r="K237" s="86"/>
      <c r="L237" s="86"/>
      <c r="M237" s="138">
        <f>(J237-H237)/H237</f>
        <v>0.1972286374133949</v>
      </c>
    </row>
    <row r="238" spans="1:13" ht="12">
      <c r="A238" s="41">
        <f t="shared" si="2"/>
        <v>7</v>
      </c>
      <c r="C238" s="4" t="s">
        <v>0</v>
      </c>
      <c r="E238" s="41">
        <f t="shared" si="3"/>
        <v>7</v>
      </c>
      <c r="F238" s="41"/>
      <c r="G238" s="86"/>
      <c r="H238" s="86"/>
      <c r="I238" s="86"/>
      <c r="J238" s="86"/>
      <c r="K238" s="86"/>
      <c r="L238" s="86"/>
      <c r="M238" s="387"/>
    </row>
    <row r="239" spans="1:6" ht="12">
      <c r="A239" s="41">
        <f t="shared" si="2"/>
        <v>8</v>
      </c>
      <c r="E239" s="41">
        <f t="shared" si="3"/>
        <v>8</v>
      </c>
      <c r="F239" s="41"/>
    </row>
    <row r="240" spans="1:13" ht="12">
      <c r="A240" s="41">
        <f t="shared" si="2"/>
        <v>9</v>
      </c>
      <c r="C240" s="4" t="s">
        <v>0</v>
      </c>
      <c r="E240" s="41">
        <f t="shared" si="3"/>
        <v>9</v>
      </c>
      <c r="F240" s="41"/>
      <c r="G240" s="86"/>
      <c r="I240" s="86"/>
      <c r="J240" s="86"/>
      <c r="L240" s="86"/>
      <c r="M240" s="387"/>
    </row>
    <row r="241" spans="1:13" ht="12">
      <c r="A241" s="41">
        <f t="shared" si="2"/>
        <v>10</v>
      </c>
      <c r="C241" s="4" t="s">
        <v>0</v>
      </c>
      <c r="E241" s="41">
        <f t="shared" si="3"/>
        <v>10</v>
      </c>
      <c r="F241" s="41"/>
      <c r="G241" s="86"/>
      <c r="H241" s="86"/>
      <c r="I241" s="86"/>
      <c r="J241" s="86"/>
      <c r="L241" s="86"/>
      <c r="M241" s="387"/>
    </row>
    <row r="242" spans="1:13" ht="12">
      <c r="A242" s="41">
        <f t="shared" si="2"/>
        <v>11</v>
      </c>
      <c r="C242" s="4" t="s">
        <v>153</v>
      </c>
      <c r="E242" s="41">
        <f t="shared" si="3"/>
        <v>11</v>
      </c>
      <c r="F242" s="41"/>
      <c r="G242" s="86"/>
      <c r="H242" s="86"/>
      <c r="I242" s="86"/>
      <c r="J242" s="86"/>
      <c r="L242" s="86"/>
      <c r="M242" s="387"/>
    </row>
    <row r="243" spans="1:13" ht="12">
      <c r="A243" s="41">
        <f t="shared" si="2"/>
        <v>12</v>
      </c>
      <c r="C243" s="4"/>
      <c r="E243" s="41">
        <f t="shared" si="3"/>
        <v>12</v>
      </c>
      <c r="F243" s="41"/>
      <c r="G243" s="86"/>
      <c r="H243" s="86"/>
      <c r="I243" s="86"/>
      <c r="J243" s="86"/>
      <c r="L243" s="86"/>
      <c r="M243" s="387"/>
    </row>
    <row r="244" spans="1:13" ht="12">
      <c r="A244" s="41">
        <f t="shared" si="2"/>
        <v>13</v>
      </c>
      <c r="C244" s="4" t="s">
        <v>575</v>
      </c>
      <c r="E244" s="41">
        <f t="shared" si="3"/>
        <v>13</v>
      </c>
      <c r="F244" s="41"/>
      <c r="G244" s="86"/>
      <c r="H244" s="192">
        <v>6820</v>
      </c>
      <c r="I244" s="86"/>
      <c r="J244" s="192">
        <f>3478*2</f>
        <v>6956</v>
      </c>
      <c r="L244" s="86"/>
      <c r="M244" s="138">
        <f aca="true" t="shared" si="4" ref="M244:M251">(J244-H244)/H244</f>
        <v>0.01994134897360704</v>
      </c>
    </row>
    <row r="245" spans="1:13" ht="12">
      <c r="A245" s="41">
        <f t="shared" si="2"/>
        <v>14</v>
      </c>
      <c r="C245" s="4" t="s">
        <v>576</v>
      </c>
      <c r="E245" s="41">
        <f t="shared" si="3"/>
        <v>14</v>
      </c>
      <c r="F245" s="41"/>
      <c r="G245" s="86"/>
      <c r="H245" s="86">
        <v>8222</v>
      </c>
      <c r="I245" s="86"/>
      <c r="J245" s="192">
        <f>4193*2</f>
        <v>8386</v>
      </c>
      <c r="K245" s="179"/>
      <c r="L245" s="179"/>
      <c r="M245" s="138">
        <f t="shared" si="4"/>
        <v>0.01994648504013622</v>
      </c>
    </row>
    <row r="246" spans="1:13" ht="12">
      <c r="A246" s="41">
        <f t="shared" si="2"/>
        <v>15</v>
      </c>
      <c r="C246" s="4" t="s">
        <v>577</v>
      </c>
      <c r="E246" s="41">
        <f t="shared" si="3"/>
        <v>15</v>
      </c>
      <c r="F246" s="41"/>
      <c r="G246" s="86"/>
      <c r="H246" s="192">
        <v>9534</v>
      </c>
      <c r="I246" s="179"/>
      <c r="J246" s="192">
        <f>4862*2</f>
        <v>9724</v>
      </c>
      <c r="K246" s="179"/>
      <c r="L246" s="179"/>
      <c r="M246" s="138">
        <f t="shared" si="4"/>
        <v>0.019928676316341515</v>
      </c>
    </row>
    <row r="247" spans="1:13" ht="12">
      <c r="A247" s="41">
        <f t="shared" si="2"/>
        <v>16</v>
      </c>
      <c r="C247" s="4" t="s">
        <v>578</v>
      </c>
      <c r="E247" s="41">
        <f t="shared" si="3"/>
        <v>16</v>
      </c>
      <c r="F247" s="41"/>
      <c r="G247" s="86"/>
      <c r="H247" s="192">
        <v>7340</v>
      </c>
      <c r="I247" s="179"/>
      <c r="J247" s="192">
        <f>3743*2</f>
        <v>7486</v>
      </c>
      <c r="K247" s="179"/>
      <c r="L247" s="179"/>
      <c r="M247" s="138">
        <f t="shared" si="4"/>
        <v>0.01989100817438692</v>
      </c>
    </row>
    <row r="248" spans="1:13" ht="12">
      <c r="A248" s="41">
        <f t="shared" si="2"/>
        <v>17</v>
      </c>
      <c r="C248" s="4" t="s">
        <v>579</v>
      </c>
      <c r="E248" s="41">
        <f t="shared" si="3"/>
        <v>17</v>
      </c>
      <c r="F248" s="41"/>
      <c r="G248" s="86"/>
      <c r="H248" s="192">
        <v>9534</v>
      </c>
      <c r="I248" s="179"/>
      <c r="J248" s="192">
        <f>4862*2</f>
        <v>9724</v>
      </c>
      <c r="K248" s="179"/>
      <c r="L248" s="179"/>
      <c r="M248" s="138">
        <f t="shared" si="4"/>
        <v>0.019928676316341515</v>
      </c>
    </row>
    <row r="249" spans="1:13" ht="12">
      <c r="A249" s="41">
        <f t="shared" si="2"/>
        <v>18</v>
      </c>
      <c r="C249" s="4" t="s">
        <v>580</v>
      </c>
      <c r="E249" s="41">
        <f t="shared" si="3"/>
        <v>18</v>
      </c>
      <c r="F249" s="41"/>
      <c r="G249" s="86"/>
      <c r="H249" s="192">
        <v>9484</v>
      </c>
      <c r="I249" s="179"/>
      <c r="J249" s="192">
        <f>4837*2</f>
        <v>9674</v>
      </c>
      <c r="K249" s="179"/>
      <c r="L249" s="179"/>
      <c r="M249" s="138">
        <f t="shared" si="4"/>
        <v>0.020033741037536905</v>
      </c>
    </row>
    <row r="250" spans="1:13" ht="12">
      <c r="A250" s="41">
        <f t="shared" si="2"/>
        <v>19</v>
      </c>
      <c r="C250" s="5" t="s">
        <v>581</v>
      </c>
      <c r="E250" s="41">
        <f t="shared" si="3"/>
        <v>19</v>
      </c>
      <c r="F250" s="41"/>
      <c r="G250" s="86"/>
      <c r="H250" s="86">
        <v>8300</v>
      </c>
      <c r="I250" s="86"/>
      <c r="J250" s="192">
        <f>4233*2</f>
        <v>8466</v>
      </c>
      <c r="L250" s="86"/>
      <c r="M250" s="138">
        <f t="shared" si="4"/>
        <v>0.02</v>
      </c>
    </row>
    <row r="251" spans="1:13" ht="12">
      <c r="A251" s="41">
        <f t="shared" si="2"/>
        <v>20</v>
      </c>
      <c r="C251" s="5" t="s">
        <v>582</v>
      </c>
      <c r="E251" s="41">
        <f t="shared" si="3"/>
        <v>20</v>
      </c>
      <c r="F251" s="41"/>
      <c r="G251" s="86"/>
      <c r="H251" s="86">
        <v>8300</v>
      </c>
      <c r="I251" s="86"/>
      <c r="J251" s="192">
        <f>4233*2</f>
        <v>8466</v>
      </c>
      <c r="L251" s="86"/>
      <c r="M251" s="138">
        <f t="shared" si="4"/>
        <v>0.02</v>
      </c>
    </row>
    <row r="252" spans="1:13" ht="12">
      <c r="A252" s="41">
        <f t="shared" si="2"/>
        <v>21</v>
      </c>
      <c r="E252" s="41">
        <f t="shared" si="3"/>
        <v>21</v>
      </c>
      <c r="F252" s="41"/>
      <c r="G252" s="86"/>
      <c r="H252" s="86"/>
      <c r="I252" s="86"/>
      <c r="J252" s="86"/>
      <c r="L252" s="86"/>
      <c r="M252" s="86"/>
    </row>
    <row r="253" spans="1:13" ht="12">
      <c r="A253" s="41">
        <f t="shared" si="2"/>
        <v>22</v>
      </c>
      <c r="C253" s="4" t="s">
        <v>154</v>
      </c>
      <c r="E253" s="41">
        <f t="shared" si="3"/>
        <v>22</v>
      </c>
      <c r="F253" s="41"/>
      <c r="G253" s="86"/>
      <c r="H253" s="179"/>
      <c r="I253" s="86"/>
      <c r="J253" s="86"/>
      <c r="L253" s="86"/>
      <c r="M253" s="386"/>
    </row>
    <row r="254" spans="1:13" ht="12">
      <c r="A254" s="41">
        <f t="shared" si="2"/>
        <v>23</v>
      </c>
      <c r="C254" s="4" t="s">
        <v>151</v>
      </c>
      <c r="E254" s="41">
        <f t="shared" si="3"/>
        <v>23</v>
      </c>
      <c r="F254" s="41"/>
      <c r="G254" s="86"/>
      <c r="H254" s="179"/>
      <c r="I254" s="86"/>
      <c r="J254" s="86"/>
      <c r="L254" s="86"/>
      <c r="M254" s="86"/>
    </row>
    <row r="255" spans="1:13" ht="12">
      <c r="A255" s="41">
        <f t="shared" si="2"/>
        <v>24</v>
      </c>
      <c r="C255" s="4" t="s">
        <v>152</v>
      </c>
      <c r="E255" s="41">
        <f t="shared" si="3"/>
        <v>24</v>
      </c>
      <c r="F255" s="41"/>
      <c r="G255" s="86"/>
      <c r="H255" s="86"/>
      <c r="I255" s="86"/>
      <c r="J255" s="86"/>
      <c r="L255" s="86"/>
      <c r="M255" s="86"/>
    </row>
    <row r="256" spans="1:8" ht="12">
      <c r="A256" s="41">
        <f t="shared" si="2"/>
        <v>25</v>
      </c>
      <c r="E256" s="41">
        <f t="shared" si="3"/>
        <v>25</v>
      </c>
      <c r="F256" s="41"/>
      <c r="G256" s="86"/>
      <c r="H256" s="86"/>
    </row>
    <row r="257" spans="1:13" ht="12">
      <c r="A257" s="41">
        <f t="shared" si="2"/>
        <v>26</v>
      </c>
      <c r="C257" s="4" t="s">
        <v>0</v>
      </c>
      <c r="E257" s="41">
        <f t="shared" si="3"/>
        <v>26</v>
      </c>
      <c r="F257" s="41"/>
      <c r="G257" s="86"/>
      <c r="H257" s="86"/>
      <c r="I257" s="86"/>
      <c r="J257" s="86"/>
      <c r="L257" s="86"/>
      <c r="M257" s="86"/>
    </row>
    <row r="258" spans="1:13" ht="12">
      <c r="A258" s="41">
        <f t="shared" si="2"/>
        <v>27</v>
      </c>
      <c r="C258" s="4" t="s">
        <v>0</v>
      </c>
      <c r="E258" s="41">
        <f t="shared" si="3"/>
        <v>27</v>
      </c>
      <c r="F258" s="41"/>
      <c r="G258" s="86"/>
      <c r="I258" s="86"/>
      <c r="J258" s="86"/>
      <c r="L258" s="86"/>
      <c r="M258" s="86"/>
    </row>
    <row r="259" spans="1:13" ht="12">
      <c r="A259" s="41">
        <f t="shared" si="2"/>
        <v>28</v>
      </c>
      <c r="C259" s="4" t="s">
        <v>0</v>
      </c>
      <c r="E259" s="41">
        <f t="shared" si="3"/>
        <v>28</v>
      </c>
      <c r="F259" s="41"/>
      <c r="G259" s="86"/>
      <c r="H259" s="86"/>
      <c r="I259" s="86"/>
      <c r="J259" s="86"/>
      <c r="L259" s="86"/>
      <c r="M259" s="86"/>
    </row>
    <row r="260" spans="1:13" ht="12">
      <c r="A260" s="41"/>
      <c r="C260" s="4"/>
      <c r="E260" s="41"/>
      <c r="F260" s="41"/>
      <c r="G260" s="86"/>
      <c r="H260" s="86"/>
      <c r="I260" s="86"/>
      <c r="J260" s="86"/>
      <c r="L260" s="86"/>
      <c r="M260" s="86"/>
    </row>
    <row r="261" spans="1:13" ht="12">
      <c r="A261" s="41"/>
      <c r="C261" s="4" t="s">
        <v>0</v>
      </c>
      <c r="E261" s="38"/>
      <c r="F261" s="38"/>
      <c r="G261" s="86"/>
      <c r="H261" s="86"/>
      <c r="I261" s="86"/>
      <c r="J261" s="86"/>
      <c r="L261" s="86"/>
      <c r="M261" s="86"/>
    </row>
    <row r="262" spans="1:7" ht="12">
      <c r="A262" s="203" t="s">
        <v>583</v>
      </c>
      <c r="E262" s="38"/>
      <c r="F262" s="38"/>
      <c r="G262" s="86"/>
    </row>
    <row r="263" ht="12">
      <c r="A263" s="204"/>
    </row>
    <row r="264" ht="12">
      <c r="A264" s="204"/>
    </row>
    <row r="265" ht="9.75" customHeight="1">
      <c r="A265" s="204"/>
    </row>
    <row r="266" ht="12" hidden="1">
      <c r="A266" s="204"/>
    </row>
    <row r="267" ht="12" hidden="1">
      <c r="A267" s="204"/>
    </row>
    <row r="268" ht="12">
      <c r="A268" s="4"/>
    </row>
    <row r="269" spans="1:13" ht="12">
      <c r="A269" s="4"/>
      <c r="J269" s="86"/>
      <c r="M269" s="86"/>
    </row>
    <row r="270" spans="1:13" ht="12">
      <c r="A270" s="4"/>
      <c r="J270" s="86"/>
      <c r="M270" s="86"/>
    </row>
    <row r="271" spans="1:13" ht="12">
      <c r="A271" s="4"/>
      <c r="J271" s="86"/>
      <c r="M271" s="86"/>
    </row>
    <row r="272" spans="5:17" ht="12">
      <c r="E272" s="38"/>
      <c r="F272" s="38"/>
      <c r="G272" s="86"/>
      <c r="I272" s="86"/>
      <c r="J272" s="86"/>
      <c r="K272" s="86"/>
      <c r="M272" s="86"/>
      <c r="Q272" s="86"/>
    </row>
    <row r="273" spans="5:17" ht="12">
      <c r="E273" s="38"/>
      <c r="F273" s="38"/>
      <c r="G273" s="86"/>
      <c r="I273" s="86"/>
      <c r="J273" s="86"/>
      <c r="K273" s="86"/>
      <c r="M273" s="86"/>
      <c r="Q273" s="86"/>
    </row>
    <row r="274" spans="1:17" ht="12">
      <c r="A274" s="70" t="str">
        <f>$A$82</f>
        <v>Institution No.:  GFD</v>
      </c>
      <c r="E274" s="38"/>
      <c r="F274" s="38"/>
      <c r="G274" s="86"/>
      <c r="H274" s="86"/>
      <c r="I274" s="86"/>
      <c r="J274" s="86"/>
      <c r="L274" s="86"/>
      <c r="M274" s="212" t="s">
        <v>155</v>
      </c>
      <c r="N274" s="71"/>
      <c r="O274" s="34"/>
      <c r="P274" s="382"/>
      <c r="Q274" s="86"/>
    </row>
    <row r="275" spans="1:17" ht="12">
      <c r="A275" s="423" t="s">
        <v>156</v>
      </c>
      <c r="B275" s="423"/>
      <c r="C275" s="423"/>
      <c r="D275" s="423"/>
      <c r="E275" s="423"/>
      <c r="F275" s="423"/>
      <c r="G275" s="423"/>
      <c r="H275" s="423"/>
      <c r="I275" s="423"/>
      <c r="J275" s="423"/>
      <c r="K275" s="423"/>
      <c r="L275" s="423"/>
      <c r="M275" s="423"/>
      <c r="N275" s="71"/>
      <c r="O275" s="34"/>
      <c r="P275" s="382"/>
      <c r="Q275" s="86"/>
    </row>
    <row r="276" spans="1:17" ht="12">
      <c r="A276" s="70" t="str">
        <f>$A$84</f>
        <v>NAME: University of Colorado - Denver</v>
      </c>
      <c r="J276" s="86"/>
      <c r="L276" s="86"/>
      <c r="M276" s="213" t="str">
        <f>$M$3</f>
        <v>Date: 10/1/2007</v>
      </c>
      <c r="N276" s="71"/>
      <c r="O276" s="34"/>
      <c r="P276" s="382"/>
      <c r="Q276" s="86"/>
    </row>
    <row r="277" spans="1:13" ht="12">
      <c r="A277" s="15" t="s">
        <v>1</v>
      </c>
      <c r="B277" s="15" t="s">
        <v>1</v>
      </c>
      <c r="C277" s="15" t="s">
        <v>1</v>
      </c>
      <c r="D277" s="15" t="s">
        <v>1</v>
      </c>
      <c r="E277" s="15" t="s">
        <v>1</v>
      </c>
      <c r="F277" s="15"/>
      <c r="G277" s="176" t="s">
        <v>1</v>
      </c>
      <c r="H277" s="176" t="s">
        <v>1</v>
      </c>
      <c r="I277" s="176" t="s">
        <v>1</v>
      </c>
      <c r="J277" s="176" t="s">
        <v>1</v>
      </c>
      <c r="K277" s="176" t="s">
        <v>1</v>
      </c>
      <c r="L277" s="176" t="s">
        <v>1</v>
      </c>
      <c r="M277" s="176" t="s">
        <v>1</v>
      </c>
    </row>
    <row r="278" spans="1:13" ht="12">
      <c r="A278" s="73" t="s">
        <v>2</v>
      </c>
      <c r="E278" s="73" t="s">
        <v>2</v>
      </c>
      <c r="F278" s="73"/>
      <c r="G278" s="86"/>
      <c r="H278" s="123" t="s">
        <v>584</v>
      </c>
      <c r="I278" s="86"/>
      <c r="J278" s="123" t="s">
        <v>585</v>
      </c>
      <c r="L278" s="86"/>
      <c r="M278" s="123"/>
    </row>
    <row r="279" spans="1:13" ht="12">
      <c r="A279" s="73" t="s">
        <v>4</v>
      </c>
      <c r="C279" s="4" t="s">
        <v>0</v>
      </c>
      <c r="E279" s="73" t="s">
        <v>4</v>
      </c>
      <c r="F279" s="73"/>
      <c r="G279" s="86"/>
      <c r="H279" s="123" t="s">
        <v>7</v>
      </c>
      <c r="I279" s="86"/>
      <c r="J279" s="123" t="s">
        <v>7</v>
      </c>
      <c r="L279" s="86"/>
      <c r="M279" s="123" t="s">
        <v>307</v>
      </c>
    </row>
    <row r="280" spans="1:13" ht="12">
      <c r="A280" s="15" t="s">
        <v>1</v>
      </c>
      <c r="B280" s="15" t="s">
        <v>1</v>
      </c>
      <c r="C280" s="15" t="s">
        <v>1</v>
      </c>
      <c r="D280" s="15" t="s">
        <v>1</v>
      </c>
      <c r="E280" s="15" t="s">
        <v>1</v>
      </c>
      <c r="F280" s="15"/>
      <c r="G280" s="176" t="s">
        <v>1</v>
      </c>
      <c r="H280" s="176" t="s">
        <v>1</v>
      </c>
      <c r="I280" s="176" t="s">
        <v>1</v>
      </c>
      <c r="J280" s="176" t="s">
        <v>1</v>
      </c>
      <c r="K280" s="176" t="s">
        <v>1</v>
      </c>
      <c r="L280" s="176" t="s">
        <v>1</v>
      </c>
      <c r="M280" s="176" t="s">
        <v>1</v>
      </c>
    </row>
    <row r="281" spans="1:13" ht="12">
      <c r="A281" s="41">
        <v>1</v>
      </c>
      <c r="C281" s="4" t="s">
        <v>150</v>
      </c>
      <c r="E281" s="41">
        <v>1</v>
      </c>
      <c r="F281" s="41"/>
      <c r="G281" s="86"/>
      <c r="H281" s="86"/>
      <c r="I281" s="86"/>
      <c r="J281" s="86"/>
      <c r="L281" s="86"/>
      <c r="M281" s="86"/>
    </row>
    <row r="282" spans="1:13" ht="12">
      <c r="A282" s="41">
        <f aca="true" t="shared" si="5" ref="A282:A310">(A281+1)</f>
        <v>2</v>
      </c>
      <c r="C282" s="4"/>
      <c r="E282" s="41">
        <f aca="true" t="shared" si="6" ref="E282:E310">(E281+1)</f>
        <v>2</v>
      </c>
      <c r="F282" s="41"/>
      <c r="G282" s="86"/>
      <c r="H282" s="86"/>
      <c r="I282" s="86"/>
      <c r="L282" s="86"/>
      <c r="M282" s="386"/>
    </row>
    <row r="283" spans="1:13" ht="12">
      <c r="A283" s="41">
        <f t="shared" si="5"/>
        <v>3</v>
      </c>
      <c r="C283" s="4" t="s">
        <v>586</v>
      </c>
      <c r="E283" s="41">
        <f t="shared" si="6"/>
        <v>3</v>
      </c>
      <c r="F283" s="41"/>
      <c r="G283" s="86"/>
      <c r="H283" s="192">
        <v>16200</v>
      </c>
      <c r="I283" s="86"/>
      <c r="J283" s="192">
        <f>8505*2</f>
        <v>17010</v>
      </c>
      <c r="K283" s="205"/>
      <c r="L283" s="86"/>
      <c r="M283" s="138">
        <f>(J283-H283)/H283</f>
        <v>0.05</v>
      </c>
    </row>
    <row r="284" spans="1:13" ht="12">
      <c r="A284" s="41">
        <f t="shared" si="5"/>
        <v>4</v>
      </c>
      <c r="C284" s="5" t="s">
        <v>587</v>
      </c>
      <c r="E284" s="41">
        <f t="shared" si="6"/>
        <v>4</v>
      </c>
      <c r="F284" s="41"/>
      <c r="G284" s="86"/>
      <c r="H284" s="192">
        <v>16200</v>
      </c>
      <c r="I284" s="86"/>
      <c r="J284" s="192">
        <f>8505*2</f>
        <v>17010</v>
      </c>
      <c r="K284" s="86"/>
      <c r="L284" s="86"/>
      <c r="M284" s="138">
        <f>(J284-H284)/H284</f>
        <v>0.05</v>
      </c>
    </row>
    <row r="285" spans="1:13" ht="12">
      <c r="A285" s="41">
        <f t="shared" si="5"/>
        <v>5</v>
      </c>
      <c r="E285" s="41">
        <f t="shared" si="6"/>
        <v>5</v>
      </c>
      <c r="F285" s="41"/>
      <c r="G285" s="86"/>
      <c r="H285" s="205"/>
      <c r="I285" s="86"/>
      <c r="K285" s="86"/>
      <c r="L285" s="86"/>
      <c r="M285" s="138"/>
    </row>
    <row r="286" spans="1:13" ht="12">
      <c r="A286" s="41">
        <f t="shared" si="5"/>
        <v>6</v>
      </c>
      <c r="C286" s="4"/>
      <c r="E286" s="41">
        <f t="shared" si="6"/>
        <v>6</v>
      </c>
      <c r="F286" s="41"/>
      <c r="G286" s="86"/>
      <c r="H286" s="205"/>
      <c r="I286" s="86"/>
      <c r="K286" s="86"/>
      <c r="L286" s="86"/>
      <c r="M286" s="138"/>
    </row>
    <row r="287" spans="1:13" ht="12">
      <c r="A287" s="41">
        <f t="shared" si="5"/>
        <v>7</v>
      </c>
      <c r="C287" s="4" t="s">
        <v>0</v>
      </c>
      <c r="E287" s="41">
        <f t="shared" si="6"/>
        <v>7</v>
      </c>
      <c r="F287" s="41"/>
      <c r="G287" s="86"/>
      <c r="H287" s="86"/>
      <c r="I287" s="86"/>
      <c r="K287" s="86"/>
      <c r="L287" s="86"/>
      <c r="M287" s="387"/>
    </row>
    <row r="288" spans="1:13" ht="12">
      <c r="A288" s="41">
        <f t="shared" si="5"/>
        <v>8</v>
      </c>
      <c r="E288" s="41">
        <f t="shared" si="6"/>
        <v>8</v>
      </c>
      <c r="F288" s="41"/>
      <c r="G288" s="86"/>
      <c r="H288" s="86"/>
      <c r="I288" s="86"/>
      <c r="L288" s="86"/>
      <c r="M288" s="387"/>
    </row>
    <row r="289" spans="1:13" ht="12">
      <c r="A289" s="41">
        <f t="shared" si="5"/>
        <v>9</v>
      </c>
      <c r="C289" s="4" t="s">
        <v>0</v>
      </c>
      <c r="E289" s="41">
        <f t="shared" si="6"/>
        <v>9</v>
      </c>
      <c r="F289" s="41"/>
      <c r="G289" s="86"/>
      <c r="H289" s="86"/>
      <c r="I289" s="86"/>
      <c r="L289" s="86"/>
      <c r="M289" s="387"/>
    </row>
    <row r="290" spans="1:13" ht="12">
      <c r="A290" s="41">
        <f t="shared" si="5"/>
        <v>10</v>
      </c>
      <c r="C290" s="4" t="s">
        <v>0</v>
      </c>
      <c r="E290" s="41">
        <f t="shared" si="6"/>
        <v>10</v>
      </c>
      <c r="F290" s="41"/>
      <c r="G290" s="86"/>
      <c r="H290" s="86"/>
      <c r="I290" s="86"/>
      <c r="L290" s="86"/>
      <c r="M290" s="387"/>
    </row>
    <row r="291" spans="1:13" ht="12">
      <c r="A291" s="41">
        <f t="shared" si="5"/>
        <v>11</v>
      </c>
      <c r="C291" s="4" t="s">
        <v>153</v>
      </c>
      <c r="E291" s="41">
        <f t="shared" si="6"/>
        <v>11</v>
      </c>
      <c r="F291" s="41"/>
      <c r="G291" s="86"/>
      <c r="H291" s="86"/>
      <c r="I291" s="86"/>
      <c r="L291" s="86"/>
      <c r="M291" s="387"/>
    </row>
    <row r="292" spans="1:13" ht="12">
      <c r="A292" s="41">
        <f t="shared" si="5"/>
        <v>12</v>
      </c>
      <c r="C292" s="4"/>
      <c r="E292" s="41">
        <f t="shared" si="6"/>
        <v>12</v>
      </c>
      <c r="F292" s="41"/>
      <c r="G292" s="86"/>
      <c r="H292" s="86"/>
      <c r="I292" s="86"/>
      <c r="L292" s="86"/>
      <c r="M292" s="387"/>
    </row>
    <row r="293" spans="1:13" ht="12">
      <c r="A293" s="41">
        <f t="shared" si="5"/>
        <v>13</v>
      </c>
      <c r="C293" s="4" t="s">
        <v>575</v>
      </c>
      <c r="E293" s="41">
        <f t="shared" si="6"/>
        <v>13</v>
      </c>
      <c r="F293" s="41"/>
      <c r="G293" s="86"/>
      <c r="H293" s="192">
        <v>16850</v>
      </c>
      <c r="I293" s="86"/>
      <c r="J293" s="192">
        <f>8594*2</f>
        <v>17188</v>
      </c>
      <c r="L293" s="86"/>
      <c r="M293" s="138">
        <f aca="true" t="shared" si="7" ref="M293:M300">(J293-H293)/H293</f>
        <v>0.0200593471810089</v>
      </c>
    </row>
    <row r="294" spans="1:13" ht="12">
      <c r="A294" s="41">
        <f t="shared" si="5"/>
        <v>14</v>
      </c>
      <c r="C294" s="4" t="s">
        <v>588</v>
      </c>
      <c r="E294" s="41">
        <f t="shared" si="6"/>
        <v>14</v>
      </c>
      <c r="F294" s="41"/>
      <c r="G294" s="86"/>
      <c r="H294" s="192">
        <v>17934</v>
      </c>
      <c r="I294" s="179"/>
      <c r="J294" s="192">
        <f>9146*2</f>
        <v>18292</v>
      </c>
      <c r="K294" s="179"/>
      <c r="L294" s="179"/>
      <c r="M294" s="138">
        <f t="shared" si="7"/>
        <v>0.019962083193933312</v>
      </c>
    </row>
    <row r="295" spans="1:13" ht="12">
      <c r="A295" s="41">
        <f t="shared" si="5"/>
        <v>15</v>
      </c>
      <c r="C295" s="4" t="s">
        <v>577</v>
      </c>
      <c r="E295" s="41">
        <f t="shared" si="6"/>
        <v>15</v>
      </c>
      <c r="F295" s="41"/>
      <c r="G295" s="86"/>
      <c r="H295" s="192">
        <v>18272</v>
      </c>
      <c r="I295" s="179"/>
      <c r="J295" s="192">
        <f>9319*2</f>
        <v>18638</v>
      </c>
      <c r="K295" s="179"/>
      <c r="L295" s="179"/>
      <c r="M295" s="138">
        <f t="shared" si="7"/>
        <v>0.020030647985989494</v>
      </c>
    </row>
    <row r="296" spans="1:13" ht="12">
      <c r="A296" s="41">
        <f t="shared" si="5"/>
        <v>16</v>
      </c>
      <c r="C296" s="4" t="s">
        <v>578</v>
      </c>
      <c r="E296" s="41">
        <f t="shared" si="6"/>
        <v>16</v>
      </c>
      <c r="F296" s="41"/>
      <c r="G296" s="86"/>
      <c r="H296" s="192">
        <v>17934</v>
      </c>
      <c r="I296" s="179"/>
      <c r="J296" s="192">
        <f>9146*2</f>
        <v>18292</v>
      </c>
      <c r="K296" s="179"/>
      <c r="L296" s="179"/>
      <c r="M296" s="138">
        <f t="shared" si="7"/>
        <v>0.019962083193933312</v>
      </c>
    </row>
    <row r="297" spans="1:13" ht="12">
      <c r="A297" s="41">
        <f t="shared" si="5"/>
        <v>17</v>
      </c>
      <c r="C297" s="4" t="s">
        <v>579</v>
      </c>
      <c r="E297" s="41">
        <f t="shared" si="6"/>
        <v>17</v>
      </c>
      <c r="F297" s="41"/>
      <c r="G297" s="86"/>
      <c r="H297" s="192">
        <v>18272</v>
      </c>
      <c r="I297" s="179"/>
      <c r="J297" s="192">
        <f>9319*2</f>
        <v>18638</v>
      </c>
      <c r="K297" s="179"/>
      <c r="L297" s="179"/>
      <c r="M297" s="138">
        <f t="shared" si="7"/>
        <v>0.020030647985989494</v>
      </c>
    </row>
    <row r="298" spans="1:13" ht="12">
      <c r="A298" s="41">
        <f t="shared" si="5"/>
        <v>18</v>
      </c>
      <c r="C298" s="4" t="s">
        <v>580</v>
      </c>
      <c r="E298" s="41">
        <f t="shared" si="6"/>
        <v>18</v>
      </c>
      <c r="F298" s="41"/>
      <c r="G298" s="86"/>
      <c r="H298" s="192">
        <v>17934</v>
      </c>
      <c r="I298" s="179"/>
      <c r="J298" s="192">
        <f>9146*2</f>
        <v>18292</v>
      </c>
      <c r="K298" s="179"/>
      <c r="L298" s="179"/>
      <c r="M298" s="138">
        <f t="shared" si="7"/>
        <v>0.019962083193933312</v>
      </c>
    </row>
    <row r="299" spans="1:13" ht="12">
      <c r="A299" s="41">
        <f t="shared" si="5"/>
        <v>19</v>
      </c>
      <c r="C299" s="5" t="s">
        <v>581</v>
      </c>
      <c r="E299" s="41">
        <f t="shared" si="6"/>
        <v>19</v>
      </c>
      <c r="F299" s="41"/>
      <c r="G299" s="86"/>
      <c r="H299" s="192">
        <v>17934</v>
      </c>
      <c r="I299" s="86"/>
      <c r="J299" s="192">
        <f>9146*2</f>
        <v>18292</v>
      </c>
      <c r="L299" s="86"/>
      <c r="M299" s="138">
        <f t="shared" si="7"/>
        <v>0.019962083193933312</v>
      </c>
    </row>
    <row r="300" spans="1:13" ht="12">
      <c r="A300" s="41">
        <f t="shared" si="5"/>
        <v>20</v>
      </c>
      <c r="C300" s="5" t="s">
        <v>582</v>
      </c>
      <c r="E300" s="41">
        <f t="shared" si="6"/>
        <v>20</v>
      </c>
      <c r="F300" s="41"/>
      <c r="G300" s="86"/>
      <c r="H300" s="192">
        <v>17934</v>
      </c>
      <c r="I300" s="86"/>
      <c r="J300" s="192">
        <f>9146*2</f>
        <v>18292</v>
      </c>
      <c r="L300" s="86"/>
      <c r="M300" s="138">
        <f t="shared" si="7"/>
        <v>0.019962083193933312</v>
      </c>
    </row>
    <row r="301" spans="1:13" ht="12">
      <c r="A301" s="41">
        <f t="shared" si="5"/>
        <v>21</v>
      </c>
      <c r="E301" s="41">
        <f t="shared" si="6"/>
        <v>21</v>
      </c>
      <c r="F301" s="41"/>
      <c r="G301" s="86"/>
      <c r="H301" s="86"/>
      <c r="I301" s="86"/>
      <c r="J301" s="86"/>
      <c r="L301" s="86"/>
      <c r="M301" s="86"/>
    </row>
    <row r="302" spans="1:13" ht="12">
      <c r="A302" s="41">
        <f t="shared" si="5"/>
        <v>22</v>
      </c>
      <c r="C302" s="4" t="s">
        <v>154</v>
      </c>
      <c r="E302" s="41">
        <f t="shared" si="6"/>
        <v>22</v>
      </c>
      <c r="F302" s="41"/>
      <c r="G302" s="86"/>
      <c r="H302" s="179"/>
      <c r="I302" s="86"/>
      <c r="J302" s="86"/>
      <c r="L302" s="86"/>
      <c r="M302" s="86"/>
    </row>
    <row r="303" spans="1:13" ht="12">
      <c r="A303" s="41">
        <f t="shared" si="5"/>
        <v>23</v>
      </c>
      <c r="C303" s="4" t="s">
        <v>151</v>
      </c>
      <c r="E303" s="41">
        <f t="shared" si="6"/>
        <v>23</v>
      </c>
      <c r="F303" s="41"/>
      <c r="G303" s="86"/>
      <c r="H303" s="179"/>
      <c r="I303" s="86"/>
      <c r="J303" s="86"/>
      <c r="L303" s="86"/>
      <c r="M303" s="86"/>
    </row>
    <row r="304" spans="1:13" ht="12">
      <c r="A304" s="41">
        <f t="shared" si="5"/>
        <v>24</v>
      </c>
      <c r="C304" s="4" t="s">
        <v>152</v>
      </c>
      <c r="E304" s="41">
        <f t="shared" si="6"/>
        <v>24</v>
      </c>
      <c r="F304" s="41"/>
      <c r="G304" s="86"/>
      <c r="H304" s="86"/>
      <c r="I304" s="86"/>
      <c r="J304" s="86"/>
      <c r="L304" s="86"/>
      <c r="M304" s="86"/>
    </row>
    <row r="305" spans="1:8" ht="12">
      <c r="A305" s="41">
        <f t="shared" si="5"/>
        <v>25</v>
      </c>
      <c r="E305" s="41">
        <f t="shared" si="6"/>
        <v>25</v>
      </c>
      <c r="F305" s="41"/>
      <c r="G305" s="86"/>
      <c r="H305" s="86"/>
    </row>
    <row r="306" spans="1:13" ht="12">
      <c r="A306" s="41">
        <f t="shared" si="5"/>
        <v>26</v>
      </c>
      <c r="C306" s="4" t="s">
        <v>0</v>
      </c>
      <c r="E306" s="41">
        <f t="shared" si="6"/>
        <v>26</v>
      </c>
      <c r="F306" s="41"/>
      <c r="G306" s="86"/>
      <c r="H306" s="86"/>
      <c r="I306" s="86"/>
      <c r="J306" s="86"/>
      <c r="L306" s="86"/>
      <c r="M306" s="86"/>
    </row>
    <row r="307" spans="1:13" ht="12">
      <c r="A307" s="41">
        <f t="shared" si="5"/>
        <v>27</v>
      </c>
      <c r="C307" s="4" t="s">
        <v>0</v>
      </c>
      <c r="E307" s="41">
        <f t="shared" si="6"/>
        <v>27</v>
      </c>
      <c r="F307" s="41"/>
      <c r="G307" s="86"/>
      <c r="I307" s="86"/>
      <c r="J307" s="86"/>
      <c r="L307" s="86"/>
      <c r="M307" s="86"/>
    </row>
    <row r="308" spans="1:13" ht="12">
      <c r="A308" s="41">
        <f t="shared" si="5"/>
        <v>28</v>
      </c>
      <c r="C308" s="4" t="s">
        <v>0</v>
      </c>
      <c r="E308" s="41">
        <f t="shared" si="6"/>
        <v>28</v>
      </c>
      <c r="F308" s="41"/>
      <c r="G308" s="86"/>
      <c r="H308" s="86"/>
      <c r="I308" s="86"/>
      <c r="J308" s="86"/>
      <c r="L308" s="86"/>
      <c r="M308" s="86"/>
    </row>
    <row r="309" spans="1:13" ht="12">
      <c r="A309" s="41">
        <f t="shared" si="5"/>
        <v>29</v>
      </c>
      <c r="C309" s="4" t="s">
        <v>0</v>
      </c>
      <c r="E309" s="41">
        <f t="shared" si="6"/>
        <v>29</v>
      </c>
      <c r="F309" s="41"/>
      <c r="G309" s="86"/>
      <c r="H309" s="86"/>
      <c r="I309" s="86"/>
      <c r="J309" s="86"/>
      <c r="L309" s="86"/>
      <c r="M309" s="86"/>
    </row>
    <row r="310" spans="1:7" ht="12">
      <c r="A310" s="41">
        <f t="shared" si="5"/>
        <v>30</v>
      </c>
      <c r="E310" s="41">
        <f t="shared" si="6"/>
        <v>30</v>
      </c>
      <c r="F310" s="41"/>
      <c r="G310" s="86"/>
    </row>
    <row r="312" ht="12">
      <c r="A312" s="4"/>
    </row>
    <row r="313" spans="1:13" ht="12">
      <c r="A313" s="4"/>
      <c r="J313" s="86"/>
      <c r="M313" s="86"/>
    </row>
    <row r="314" spans="1:13" ht="12">
      <c r="A314" s="4"/>
      <c r="J314" s="86"/>
      <c r="M314" s="86"/>
    </row>
    <row r="315" spans="1:13" ht="12">
      <c r="A315" s="4"/>
      <c r="J315" s="86"/>
      <c r="M315" s="86"/>
    </row>
    <row r="316" spans="1:13" ht="12">
      <c r="A316" s="4"/>
      <c r="J316" s="86"/>
      <c r="M316" s="86"/>
    </row>
    <row r="317" spans="1:13" ht="12">
      <c r="A317" s="4"/>
      <c r="J317" s="86"/>
      <c r="M317" s="86"/>
    </row>
    <row r="318" spans="1:13" ht="12">
      <c r="A318" s="4"/>
      <c r="J318" s="86"/>
      <c r="M318" s="86"/>
    </row>
    <row r="319" spans="1:13" ht="12">
      <c r="A319" s="4"/>
      <c r="J319" s="86"/>
      <c r="M319" s="86"/>
    </row>
    <row r="320" spans="1:13" ht="12">
      <c r="A320" s="4"/>
      <c r="B320" s="388"/>
      <c r="C320" s="389" t="s">
        <v>657</v>
      </c>
      <c r="D320" s="388"/>
      <c r="E320" s="388"/>
      <c r="F320" s="388"/>
      <c r="G320" s="388"/>
      <c r="H320" s="388"/>
      <c r="I320" s="389" t="s">
        <v>176</v>
      </c>
      <c r="J320" s="86"/>
      <c r="M320" s="86"/>
    </row>
    <row r="321" spans="1:13" ht="12">
      <c r="A321" s="4"/>
      <c r="B321" s="437" t="s">
        <v>177</v>
      </c>
      <c r="C321" s="437"/>
      <c r="D321" s="437"/>
      <c r="E321" s="437"/>
      <c r="F321" s="437"/>
      <c r="G321" s="437"/>
      <c r="H321" s="437"/>
      <c r="I321" s="437"/>
      <c r="J321" s="86"/>
      <c r="M321" s="86"/>
    </row>
    <row r="322" spans="1:13" ht="12">
      <c r="A322" s="4"/>
      <c r="B322" s="388"/>
      <c r="C322" s="390" t="s">
        <v>658</v>
      </c>
      <c r="D322" s="388"/>
      <c r="E322" s="388"/>
      <c r="F322" s="388"/>
      <c r="G322" s="388"/>
      <c r="H322" s="388"/>
      <c r="I322" s="391">
        <f>'[1]NACUBO'!N354</f>
        <v>0</v>
      </c>
      <c r="J322" s="86"/>
      <c r="M322" s="86"/>
    </row>
    <row r="323" spans="1:13" ht="12">
      <c r="A323" s="4"/>
      <c r="B323" s="388"/>
      <c r="C323" s="392" t="s">
        <v>1</v>
      </c>
      <c r="D323" s="392" t="s">
        <v>1</v>
      </c>
      <c r="E323" s="392" t="s">
        <v>1</v>
      </c>
      <c r="F323" s="392" t="s">
        <v>1</v>
      </c>
      <c r="G323" s="392" t="s">
        <v>1</v>
      </c>
      <c r="H323" s="392" t="s">
        <v>1</v>
      </c>
      <c r="I323" s="392" t="s">
        <v>1</v>
      </c>
      <c r="J323" s="86"/>
      <c r="M323" s="86"/>
    </row>
    <row r="324" spans="1:13" ht="12.75">
      <c r="A324" s="4"/>
      <c r="B324" s="393"/>
      <c r="C324" s="393"/>
      <c r="D324" s="394" t="s">
        <v>172</v>
      </c>
      <c r="E324" s="393"/>
      <c r="F324" s="393"/>
      <c r="G324" s="394" t="s">
        <v>280</v>
      </c>
      <c r="H324" s="393"/>
      <c r="I324" s="393"/>
      <c r="J324" s="86"/>
      <c r="M324" s="86"/>
    </row>
    <row r="325" spans="1:13" ht="12.75">
      <c r="A325" s="4"/>
      <c r="B325" s="393"/>
      <c r="C325" s="393"/>
      <c r="D325" s="394" t="s">
        <v>178</v>
      </c>
      <c r="E325" s="393"/>
      <c r="F325" s="393"/>
      <c r="G325" s="394" t="s">
        <v>178</v>
      </c>
      <c r="H325" s="393"/>
      <c r="I325" s="393"/>
      <c r="J325" s="86"/>
      <c r="M325" s="86"/>
    </row>
    <row r="326" spans="1:13" ht="12.75">
      <c r="A326" s="4"/>
      <c r="B326" s="393"/>
      <c r="C326" s="393"/>
      <c r="D326" s="394" t="s">
        <v>21</v>
      </c>
      <c r="E326" s="394" t="s">
        <v>21</v>
      </c>
      <c r="F326" s="394" t="s">
        <v>179</v>
      </c>
      <c r="G326" s="394" t="s">
        <v>21</v>
      </c>
      <c r="H326" s="394" t="s">
        <v>21</v>
      </c>
      <c r="I326" s="394" t="s">
        <v>179</v>
      </c>
      <c r="J326" s="86"/>
      <c r="M326" s="86"/>
    </row>
    <row r="327" spans="1:13" ht="12.75">
      <c r="A327" s="4"/>
      <c r="B327" s="393"/>
      <c r="C327" s="394" t="s">
        <v>180</v>
      </c>
      <c r="D327" s="394" t="s">
        <v>181</v>
      </c>
      <c r="E327" s="394" t="s">
        <v>182</v>
      </c>
      <c r="F327" s="394" t="s">
        <v>183</v>
      </c>
      <c r="G327" s="394" t="s">
        <v>181</v>
      </c>
      <c r="H327" s="394" t="s">
        <v>182</v>
      </c>
      <c r="I327" s="394" t="s">
        <v>183</v>
      </c>
      <c r="J327" s="86"/>
      <c r="M327" s="86"/>
    </row>
    <row r="328" spans="1:13" ht="12.75">
      <c r="A328" s="4"/>
      <c r="B328" s="393"/>
      <c r="C328" s="395" t="s">
        <v>1</v>
      </c>
      <c r="D328" s="395" t="s">
        <v>1</v>
      </c>
      <c r="E328" s="395" t="s">
        <v>1</v>
      </c>
      <c r="F328" s="395" t="s">
        <v>1</v>
      </c>
      <c r="G328" s="395" t="s">
        <v>1</v>
      </c>
      <c r="H328" s="395" t="s">
        <v>1</v>
      </c>
      <c r="I328" s="395" t="s">
        <v>1</v>
      </c>
      <c r="J328" s="86"/>
      <c r="M328" s="86"/>
    </row>
    <row r="329" spans="1:13" ht="12.75">
      <c r="A329" s="4"/>
      <c r="B329" s="393"/>
      <c r="C329" s="393"/>
      <c r="D329" s="393"/>
      <c r="E329" s="393"/>
      <c r="F329" s="393"/>
      <c r="G329" s="393"/>
      <c r="H329" s="393"/>
      <c r="I329" s="393"/>
      <c r="J329" s="86"/>
      <c r="M329" s="86"/>
    </row>
    <row r="330" spans="1:13" ht="12.75">
      <c r="A330" s="4"/>
      <c r="B330" s="393"/>
      <c r="C330" s="396" t="s">
        <v>184</v>
      </c>
      <c r="D330" s="397">
        <v>0</v>
      </c>
      <c r="E330" s="397">
        <v>0</v>
      </c>
      <c r="F330" s="398">
        <f>IF(E330=0,0,+D330/+E330)</f>
        <v>0</v>
      </c>
      <c r="G330" s="397">
        <v>0</v>
      </c>
      <c r="H330" s="397">
        <v>0</v>
      </c>
      <c r="I330" s="398">
        <f>IF(H330=0,0,+G330/+H330)</f>
        <v>0</v>
      </c>
      <c r="J330" s="86"/>
      <c r="M330" s="86"/>
    </row>
    <row r="331" spans="1:13" ht="12.75">
      <c r="A331" s="4"/>
      <c r="B331" s="393"/>
      <c r="C331" s="393"/>
      <c r="D331" s="397"/>
      <c r="E331" s="397"/>
      <c r="F331" s="397"/>
      <c r="G331" s="397"/>
      <c r="H331" s="397"/>
      <c r="I331" s="397"/>
      <c r="J331" s="86"/>
      <c r="M331" s="86"/>
    </row>
    <row r="332" spans="1:13" ht="12.75">
      <c r="A332" s="4"/>
      <c r="B332" s="393"/>
      <c r="C332" s="396" t="s">
        <v>185</v>
      </c>
      <c r="D332" s="399">
        <v>3223</v>
      </c>
      <c r="E332" s="399">
        <v>147.42</v>
      </c>
      <c r="F332" s="400">
        <f>IF(E332=0,0,+D332/+E332)</f>
        <v>21.86270519603853</v>
      </c>
      <c r="G332" s="399">
        <v>3396.8</v>
      </c>
      <c r="H332" s="399">
        <v>151.6</v>
      </c>
      <c r="I332" s="400">
        <f>IF(H332=0,0,+G332/+H332)</f>
        <v>22.40633245382586</v>
      </c>
      <c r="J332" s="86"/>
      <c r="M332" s="86"/>
    </row>
    <row r="333" spans="1:13" ht="12.75">
      <c r="A333" s="4"/>
      <c r="B333" s="393"/>
      <c r="C333" s="393"/>
      <c r="D333" s="399"/>
      <c r="E333" s="399"/>
      <c r="F333" s="399"/>
      <c r="G333" s="399"/>
      <c r="H333" s="399"/>
      <c r="I333" s="399"/>
      <c r="J333" s="86"/>
      <c r="M333" s="86"/>
    </row>
    <row r="334" spans="1:13" ht="12.75">
      <c r="A334" s="4"/>
      <c r="B334" s="393"/>
      <c r="C334" s="396" t="s">
        <v>186</v>
      </c>
      <c r="D334" s="399">
        <v>3042.5</v>
      </c>
      <c r="E334" s="399">
        <v>185.63</v>
      </c>
      <c r="F334" s="400">
        <f>IF(E334=0,0,+D334/+E334)</f>
        <v>16.390130905564835</v>
      </c>
      <c r="G334" s="399">
        <v>3134.7</v>
      </c>
      <c r="H334" s="399">
        <v>190.9</v>
      </c>
      <c r="I334" s="400">
        <f>IF(H334=0,0,+G334/+H334)</f>
        <v>16.420639078051334</v>
      </c>
      <c r="J334" s="86"/>
      <c r="M334" s="86"/>
    </row>
    <row r="335" spans="1:13" ht="12.75">
      <c r="A335" s="4"/>
      <c r="B335" s="393"/>
      <c r="C335" s="393"/>
      <c r="D335" s="399"/>
      <c r="E335" s="399"/>
      <c r="F335" s="399"/>
      <c r="G335" s="399"/>
      <c r="H335" s="399"/>
      <c r="I335" s="399"/>
      <c r="J335" s="86"/>
      <c r="M335" s="86"/>
    </row>
    <row r="336" spans="1:13" ht="12.75">
      <c r="A336" s="4"/>
      <c r="B336" s="393"/>
      <c r="C336" s="396" t="s">
        <v>187</v>
      </c>
      <c r="D336" s="399">
        <f>SUM(D332:D334)</f>
        <v>6265.5</v>
      </c>
      <c r="E336" s="399">
        <f>SUM(E332:E334)</f>
        <v>333.04999999999995</v>
      </c>
      <c r="F336" s="400">
        <f>IF(E336=0,0,+D336/+E336)</f>
        <v>18.812490617024473</v>
      </c>
      <c r="G336" s="399">
        <f>SUM(G332:G334)</f>
        <v>6531.5</v>
      </c>
      <c r="H336" s="399">
        <f>SUM(H332:H334)</f>
        <v>342.5</v>
      </c>
      <c r="I336" s="400">
        <f>IF(H336=0,0,+G336/+H336)</f>
        <v>19.07007299270073</v>
      </c>
      <c r="J336" s="86"/>
      <c r="M336" s="86"/>
    </row>
    <row r="337" spans="1:13" ht="12.75">
      <c r="A337" s="4"/>
      <c r="B337" s="393"/>
      <c r="C337" s="393"/>
      <c r="D337" s="399"/>
      <c r="E337" s="399"/>
      <c r="F337" s="399"/>
      <c r="G337" s="399"/>
      <c r="H337" s="399"/>
      <c r="I337" s="399"/>
      <c r="J337" s="86"/>
      <c r="M337" s="86"/>
    </row>
    <row r="338" spans="1:13" ht="12.75">
      <c r="A338" s="4"/>
      <c r="B338" s="393"/>
      <c r="C338" s="393"/>
      <c r="D338" s="399"/>
      <c r="E338" s="399"/>
      <c r="F338" s="399"/>
      <c r="G338" s="399"/>
      <c r="H338" s="399"/>
      <c r="I338" s="399"/>
      <c r="J338" s="86"/>
      <c r="M338" s="86"/>
    </row>
    <row r="339" spans="1:13" ht="12.75">
      <c r="A339" s="4"/>
      <c r="B339" s="393"/>
      <c r="C339" s="396" t="s">
        <v>188</v>
      </c>
      <c r="D339" s="399">
        <v>2305.6</v>
      </c>
      <c r="E339" s="399">
        <v>227.98</v>
      </c>
      <c r="F339" s="400">
        <f>IF(E339=0,0,+D339/+E339)</f>
        <v>10.113167821738749</v>
      </c>
      <c r="G339" s="399">
        <v>2218.1</v>
      </c>
      <c r="H339" s="399">
        <v>235.4</v>
      </c>
      <c r="I339" s="400">
        <f>IF(H339=0,0,+G339/+H339)</f>
        <v>9.42268479184367</v>
      </c>
      <c r="J339" s="86"/>
      <c r="M339" s="86"/>
    </row>
    <row r="340" spans="1:13" ht="12.75">
      <c r="A340" s="4"/>
      <c r="B340" s="393"/>
      <c r="C340" s="393"/>
      <c r="D340" s="399"/>
      <c r="E340" s="399"/>
      <c r="F340" s="399"/>
      <c r="G340" s="399"/>
      <c r="H340" s="399"/>
      <c r="I340" s="399"/>
      <c r="J340" s="86"/>
      <c r="M340" s="86"/>
    </row>
    <row r="341" spans="1:13" ht="12.75">
      <c r="A341" s="4"/>
      <c r="B341" s="396" t="s">
        <v>0</v>
      </c>
      <c r="C341" s="396" t="s">
        <v>189</v>
      </c>
      <c r="D341" s="399">
        <v>91.5</v>
      </c>
      <c r="E341" s="399">
        <v>34.75</v>
      </c>
      <c r="F341" s="400">
        <f>IF(E341=0,0,+D341/+E341)</f>
        <v>2.633093525179856</v>
      </c>
      <c r="G341" s="399">
        <v>94.8</v>
      </c>
      <c r="H341" s="399">
        <v>34</v>
      </c>
      <c r="I341" s="400">
        <f>IF(H341=0,0,+G341/+H341)</f>
        <v>2.788235294117647</v>
      </c>
      <c r="J341" s="86"/>
      <c r="M341" s="86"/>
    </row>
    <row r="342" spans="1:13" ht="12.75">
      <c r="A342" s="4"/>
      <c r="B342" s="393"/>
      <c r="C342" s="393"/>
      <c r="D342" s="399"/>
      <c r="E342" s="399"/>
      <c r="F342" s="399"/>
      <c r="G342" s="399"/>
      <c r="H342" s="399"/>
      <c r="I342" s="399"/>
      <c r="J342" s="86"/>
      <c r="M342" s="86"/>
    </row>
    <row r="343" spans="1:13" ht="12.75">
      <c r="A343" s="4"/>
      <c r="B343" s="393"/>
      <c r="C343" s="396" t="s">
        <v>190</v>
      </c>
      <c r="D343" s="399">
        <f>SUM(D339:D341)</f>
        <v>2397.1</v>
      </c>
      <c r="E343" s="399">
        <f>SUM(E339:E342)</f>
        <v>262.73</v>
      </c>
      <c r="F343" s="400">
        <f>IF(E343=0,0,+D343/+E343)</f>
        <v>9.123815323716363</v>
      </c>
      <c r="G343" s="399">
        <f>SUM(G339:G341)</f>
        <v>2312.9</v>
      </c>
      <c r="H343" s="399">
        <f>SUM(H339:H342)</f>
        <v>269.4</v>
      </c>
      <c r="I343" s="400">
        <f>IF(H343=0,0,+G343/+H343)</f>
        <v>8.585374907201189</v>
      </c>
      <c r="J343" s="86"/>
      <c r="M343" s="86"/>
    </row>
    <row r="344" spans="1:13" ht="12.75">
      <c r="A344" s="4"/>
      <c r="B344" s="393"/>
      <c r="C344" s="393"/>
      <c r="D344" s="399"/>
      <c r="E344" s="399"/>
      <c r="F344" s="399"/>
      <c r="G344" s="399"/>
      <c r="H344" s="399"/>
      <c r="I344" s="399"/>
      <c r="J344" s="86"/>
      <c r="M344" s="86"/>
    </row>
    <row r="345" spans="1:13" ht="12.75">
      <c r="A345" s="4"/>
      <c r="B345" s="393"/>
      <c r="C345" s="396" t="s">
        <v>191</v>
      </c>
      <c r="D345" s="399">
        <f>D336+D343</f>
        <v>8662.6</v>
      </c>
      <c r="E345" s="399">
        <f>E336+E343</f>
        <v>595.78</v>
      </c>
      <c r="F345" s="400">
        <f>IF(E345=0,0,+D345/+E345)</f>
        <v>14.539930846956931</v>
      </c>
      <c r="G345" s="399">
        <f>G336+G343</f>
        <v>8844.4</v>
      </c>
      <c r="H345" s="399">
        <f>H336+H343</f>
        <v>611.9</v>
      </c>
      <c r="I345" s="400">
        <f>IF(H345=0,0,+G345/+H345)</f>
        <v>14.453995750939695</v>
      </c>
      <c r="J345" s="86"/>
      <c r="M345" s="86"/>
    </row>
    <row r="346" spans="1:13" ht="12.75">
      <c r="A346" s="4"/>
      <c r="B346" s="393"/>
      <c r="C346" s="393"/>
      <c r="D346" s="399"/>
      <c r="E346" s="401"/>
      <c r="F346" s="401"/>
      <c r="G346" s="401"/>
      <c r="H346" s="401"/>
      <c r="I346" s="401"/>
      <c r="J346" s="86"/>
      <c r="M346" s="86"/>
    </row>
    <row r="347" spans="1:13" ht="12.75">
      <c r="A347" s="4"/>
      <c r="B347" s="393"/>
      <c r="C347" s="393"/>
      <c r="D347" s="402"/>
      <c r="E347" s="393"/>
      <c r="F347" s="393"/>
      <c r="G347" s="393"/>
      <c r="H347" s="393"/>
      <c r="I347" s="393"/>
      <c r="J347" s="86"/>
      <c r="M347" s="86"/>
    </row>
    <row r="348" spans="1:13" ht="12.75">
      <c r="A348" s="4"/>
      <c r="B348" s="393"/>
      <c r="C348" s="393"/>
      <c r="D348" s="393"/>
      <c r="E348" s="393"/>
      <c r="F348" s="393"/>
      <c r="G348" s="393"/>
      <c r="H348" s="393"/>
      <c r="I348" s="393"/>
      <c r="J348" s="86"/>
      <c r="M348" s="86"/>
    </row>
    <row r="349" spans="1:13" ht="12.75">
      <c r="A349" s="4"/>
      <c r="B349" s="393"/>
      <c r="C349" s="393"/>
      <c r="D349" s="393"/>
      <c r="E349" s="393"/>
      <c r="F349" s="393"/>
      <c r="G349" s="393"/>
      <c r="H349" s="393"/>
      <c r="I349" s="393"/>
      <c r="J349" s="86"/>
      <c r="M349" s="86"/>
    </row>
    <row r="350" spans="1:13" ht="12.75">
      <c r="A350" s="4"/>
      <c r="B350" s="393"/>
      <c r="C350" s="396" t="s">
        <v>192</v>
      </c>
      <c r="D350" s="393"/>
      <c r="E350" s="393"/>
      <c r="F350" s="393"/>
      <c r="G350" s="393"/>
      <c r="H350" s="393"/>
      <c r="I350" s="393"/>
      <c r="J350" s="86"/>
      <c r="M350" s="86"/>
    </row>
    <row r="351" spans="1:13" ht="12.75">
      <c r="A351" s="4"/>
      <c r="B351" s="393"/>
      <c r="C351" s="396" t="s">
        <v>193</v>
      </c>
      <c r="D351" s="393"/>
      <c r="E351" s="393"/>
      <c r="F351" s="393"/>
      <c r="G351" s="393"/>
      <c r="H351" s="393"/>
      <c r="I351" s="393"/>
      <c r="J351" s="86"/>
      <c r="M351" s="86"/>
    </row>
    <row r="352" spans="1:13" ht="12">
      <c r="A352" s="4"/>
      <c r="J352" s="86"/>
      <c r="M352" s="86"/>
    </row>
    <row r="353" spans="1:13" ht="12">
      <c r="A353" s="4"/>
      <c r="J353" s="86"/>
      <c r="M353" s="86"/>
    </row>
    <row r="354" spans="1:13" ht="12">
      <c r="A354" s="4"/>
      <c r="J354" s="86"/>
      <c r="M354" s="86"/>
    </row>
    <row r="355" spans="1:13" ht="12">
      <c r="A355" s="4"/>
      <c r="J355" s="86"/>
      <c r="M355" s="86"/>
    </row>
    <row r="356" spans="1:13" ht="12">
      <c r="A356" s="4"/>
      <c r="J356" s="86"/>
      <c r="M356" s="86"/>
    </row>
    <row r="357" spans="1:13" ht="12">
      <c r="A357" s="4"/>
      <c r="J357" s="86"/>
      <c r="M357" s="86"/>
    </row>
    <row r="358" spans="1:13" ht="0.75" customHeight="1">
      <c r="A358" s="4"/>
      <c r="J358" s="86"/>
      <c r="M358" s="86"/>
    </row>
    <row r="359" spans="1:13" ht="6" customHeight="1" hidden="1">
      <c r="A359" s="4"/>
      <c r="J359" s="86"/>
      <c r="M359" s="86"/>
    </row>
    <row r="360" spans="1:13" ht="12" hidden="1">
      <c r="A360" s="4"/>
      <c r="J360" s="86"/>
      <c r="M360" s="86"/>
    </row>
    <row r="361" spans="1:13" ht="12" hidden="1">
      <c r="A361" s="4"/>
      <c r="J361" s="86"/>
      <c r="M361" s="86"/>
    </row>
    <row r="362" spans="1:13" ht="12">
      <c r="A362" s="4"/>
      <c r="J362" s="86"/>
      <c r="M362" s="86"/>
    </row>
    <row r="363" spans="1:13" ht="12">
      <c r="A363" s="4"/>
      <c r="J363" s="86"/>
      <c r="M363" s="86"/>
    </row>
    <row r="364" spans="1:13" ht="12">
      <c r="A364" s="4"/>
      <c r="J364" s="86"/>
      <c r="M364" s="86"/>
    </row>
    <row r="365" spans="1:13" ht="12">
      <c r="A365" s="4"/>
      <c r="J365" s="86"/>
      <c r="M365" s="86"/>
    </row>
    <row r="366" spans="1:13" ht="12">
      <c r="A366" s="4"/>
      <c r="J366" s="86"/>
      <c r="M366" s="86"/>
    </row>
    <row r="367" spans="1:13" ht="12">
      <c r="A367" s="4"/>
      <c r="J367" s="86"/>
      <c r="M367" s="86"/>
    </row>
    <row r="368" spans="1:13" ht="12">
      <c r="A368" s="4"/>
      <c r="J368" s="86"/>
      <c r="M368" s="86"/>
    </row>
    <row r="369" spans="1:13" ht="6" customHeight="1">
      <c r="A369" s="4"/>
      <c r="J369" s="86"/>
      <c r="M369" s="86"/>
    </row>
    <row r="370" spans="1:16" s="21" customFormat="1" ht="12">
      <c r="A370" s="70" t="str">
        <f>$A$82</f>
        <v>Institution No.:  GFD</v>
      </c>
      <c r="E370" s="20"/>
      <c r="F370" s="20"/>
      <c r="G370" s="87"/>
      <c r="H370" s="87"/>
      <c r="I370" s="87"/>
      <c r="J370" s="87"/>
      <c r="K370" s="208"/>
      <c r="L370" s="87"/>
      <c r="M370" s="212" t="s">
        <v>60</v>
      </c>
      <c r="O370" s="375"/>
      <c r="P370" s="376"/>
    </row>
    <row r="371" spans="5:16" s="21" customFormat="1" ht="12">
      <c r="E371" s="20" t="s">
        <v>503</v>
      </c>
      <c r="F371" s="20"/>
      <c r="G371" s="87"/>
      <c r="H371" s="87"/>
      <c r="I371" s="87"/>
      <c r="J371" s="87"/>
      <c r="K371" s="208"/>
      <c r="L371" s="87"/>
      <c r="M371" s="87"/>
      <c r="O371" s="375"/>
      <c r="P371" s="376"/>
    </row>
    <row r="372" spans="1:13" ht="12">
      <c r="A372" s="70" t="str">
        <f>$A$84</f>
        <v>NAME: University of Colorado - Denver</v>
      </c>
      <c r="G372" s="86"/>
      <c r="H372" s="86"/>
      <c r="I372" s="218"/>
      <c r="J372" s="219"/>
      <c r="L372" s="86"/>
      <c r="M372" s="213" t="str">
        <f>$M$3</f>
        <v>Date: 10/1/2007</v>
      </c>
    </row>
    <row r="373" spans="1:13" ht="12">
      <c r="A373" s="15" t="s">
        <v>1</v>
      </c>
      <c r="B373" s="15" t="s">
        <v>1</v>
      </c>
      <c r="C373" s="15" t="s">
        <v>1</v>
      </c>
      <c r="D373" s="15" t="s">
        <v>1</v>
      </c>
      <c r="E373" s="15" t="s">
        <v>1</v>
      </c>
      <c r="F373" s="15"/>
      <c r="G373" s="176" t="s">
        <v>1</v>
      </c>
      <c r="H373" s="176" t="s">
        <v>1</v>
      </c>
      <c r="I373" s="176" t="s">
        <v>1</v>
      </c>
      <c r="J373" s="176" t="s">
        <v>1</v>
      </c>
      <c r="K373" s="176" t="s">
        <v>1</v>
      </c>
      <c r="L373" s="176" t="s">
        <v>1</v>
      </c>
      <c r="M373" s="176" t="s">
        <v>1</v>
      </c>
    </row>
    <row r="374" spans="1:13" ht="12">
      <c r="A374" s="73" t="s">
        <v>2</v>
      </c>
      <c r="E374" s="73" t="s">
        <v>2</v>
      </c>
      <c r="F374" s="73"/>
      <c r="G374" s="123"/>
      <c r="H374" s="123" t="str">
        <f>$H$86</f>
        <v>2005-06</v>
      </c>
      <c r="I374" s="86"/>
      <c r="J374" s="123" t="str">
        <f>$J$86</f>
        <v>2006-07</v>
      </c>
      <c r="L374" s="86"/>
      <c r="M374" s="123" t="str">
        <f>$M$86</f>
        <v>2007-08</v>
      </c>
    </row>
    <row r="375" spans="1:13" ht="12">
      <c r="A375" s="73" t="s">
        <v>4</v>
      </c>
      <c r="C375" s="74" t="s">
        <v>20</v>
      </c>
      <c r="E375" s="73" t="s">
        <v>4</v>
      </c>
      <c r="F375" s="73"/>
      <c r="G375" s="123" t="s">
        <v>21</v>
      </c>
      <c r="H375" s="123" t="s">
        <v>7</v>
      </c>
      <c r="I375" s="123" t="s">
        <v>6</v>
      </c>
      <c r="J375" s="123" t="s">
        <v>7</v>
      </c>
      <c r="K375" s="191"/>
      <c r="L375" s="123" t="s">
        <v>6</v>
      </c>
      <c r="M375" s="123" t="s">
        <v>8</v>
      </c>
    </row>
    <row r="376" spans="1:13" ht="12">
      <c r="A376" s="15" t="s">
        <v>1</v>
      </c>
      <c r="B376" s="15" t="s">
        <v>1</v>
      </c>
      <c r="C376" s="15" t="s">
        <v>1</v>
      </c>
      <c r="D376" s="15" t="s">
        <v>1</v>
      </c>
      <c r="E376" s="15" t="s">
        <v>1</v>
      </c>
      <c r="F376" s="15"/>
      <c r="G376" s="176" t="s">
        <v>1</v>
      </c>
      <c r="H376" s="176" t="s">
        <v>1</v>
      </c>
      <c r="I376" s="176" t="s">
        <v>1</v>
      </c>
      <c r="J376" s="176" t="s">
        <v>1</v>
      </c>
      <c r="K376" s="176" t="s">
        <v>1</v>
      </c>
      <c r="L376" s="176" t="s">
        <v>1</v>
      </c>
      <c r="M376" s="176" t="s">
        <v>1</v>
      </c>
    </row>
    <row r="377" spans="1:13" ht="12">
      <c r="A377" s="41">
        <v>1</v>
      </c>
      <c r="C377" s="4" t="s">
        <v>61</v>
      </c>
      <c r="E377" s="41">
        <v>1</v>
      </c>
      <c r="F377" s="41"/>
      <c r="G377" s="86"/>
      <c r="H377" s="86"/>
      <c r="I377" s="86"/>
      <c r="J377" s="86"/>
      <c r="L377" s="86"/>
      <c r="M377" s="86"/>
    </row>
    <row r="378" spans="1:13" ht="12">
      <c r="A378" s="41">
        <f aca="true" t="shared" si="8" ref="A378:A399">(A377+1)</f>
        <v>2</v>
      </c>
      <c r="C378" s="4" t="s">
        <v>62</v>
      </c>
      <c r="D378" s="4" t="s">
        <v>63</v>
      </c>
      <c r="E378" s="41">
        <f aca="true" t="shared" si="9" ref="E378:E399">(E377+1)</f>
        <v>2</v>
      </c>
      <c r="F378" s="41"/>
      <c r="G378" s="207">
        <v>425.2</v>
      </c>
      <c r="H378" s="192">
        <f>4005133</f>
        <v>4005133</v>
      </c>
      <c r="I378" s="206">
        <v>380.7</v>
      </c>
      <c r="J378" s="179">
        <v>4126139</v>
      </c>
      <c r="K378" s="179"/>
      <c r="L378" s="206">
        <v>373.2</v>
      </c>
      <c r="M378" s="179">
        <v>4297541</v>
      </c>
    </row>
    <row r="379" spans="1:13" ht="12">
      <c r="A379" s="41">
        <f t="shared" si="8"/>
        <v>3</v>
      </c>
      <c r="D379" s="4" t="s">
        <v>64</v>
      </c>
      <c r="E379" s="41">
        <f t="shared" si="9"/>
        <v>3</v>
      </c>
      <c r="F379" s="41"/>
      <c r="G379" s="207">
        <v>555.1</v>
      </c>
      <c r="H379" s="192">
        <f>4063801</f>
        <v>4063801</v>
      </c>
      <c r="I379" s="206">
        <v>558.5</v>
      </c>
      <c r="J379" s="179">
        <v>5249780</v>
      </c>
      <c r="K379" s="179"/>
      <c r="L379" s="206">
        <v>566.9</v>
      </c>
      <c r="M379" s="179">
        <v>5467860</v>
      </c>
    </row>
    <row r="380" spans="1:13" ht="12">
      <c r="A380" s="41">
        <f t="shared" si="8"/>
        <v>4</v>
      </c>
      <c r="C380" s="4" t="s">
        <v>65</v>
      </c>
      <c r="D380" s="4" t="s">
        <v>63</v>
      </c>
      <c r="E380" s="41">
        <f t="shared" si="9"/>
        <v>4</v>
      </c>
      <c r="F380" s="41"/>
      <c r="G380" s="207">
        <v>16.2</v>
      </c>
      <c r="H380" s="192">
        <f>491564</f>
        <v>491564</v>
      </c>
      <c r="I380" s="206">
        <v>15.5</v>
      </c>
      <c r="J380" s="179">
        <v>593132</v>
      </c>
      <c r="K380" s="179"/>
      <c r="L380" s="206">
        <v>15.1</v>
      </c>
      <c r="M380" s="179">
        <v>617771</v>
      </c>
    </row>
    <row r="381" spans="1:13" ht="12">
      <c r="A381" s="41">
        <f t="shared" si="8"/>
        <v>5</v>
      </c>
      <c r="D381" s="4" t="s">
        <v>64</v>
      </c>
      <c r="E381" s="41">
        <f t="shared" si="9"/>
        <v>5</v>
      </c>
      <c r="F381" s="41"/>
      <c r="G381" s="207">
        <v>32.7</v>
      </c>
      <c r="H381" s="192">
        <f>672998</f>
        <v>672998</v>
      </c>
      <c r="I381" s="206">
        <v>28</v>
      </c>
      <c r="J381" s="179">
        <v>643570</v>
      </c>
      <c r="K381" s="179"/>
      <c r="L381" s="206">
        <v>28.7</v>
      </c>
      <c r="M381" s="179">
        <v>670304</v>
      </c>
    </row>
    <row r="382" spans="1:17" ht="12">
      <c r="A382" s="41">
        <f t="shared" si="8"/>
        <v>6</v>
      </c>
      <c r="C382" s="4" t="s">
        <v>66</v>
      </c>
      <c r="E382" s="41">
        <f t="shared" si="9"/>
        <v>6</v>
      </c>
      <c r="F382" s="41"/>
      <c r="G382" s="71">
        <f>SUM(G378:G381)</f>
        <v>1029.2</v>
      </c>
      <c r="H382" s="86">
        <f>SUM(H378:H381)</f>
        <v>9233496</v>
      </c>
      <c r="I382" s="71">
        <f>SUM(I378:I381)</f>
        <v>982.7</v>
      </c>
      <c r="J382" s="86">
        <f>SUM(J378:J381)</f>
        <v>10612621</v>
      </c>
      <c r="L382" s="71">
        <f>SUM(L378:L381)</f>
        <v>983.9</v>
      </c>
      <c r="M382" s="86">
        <f>SUM(M378:M381)</f>
        <v>11053476</v>
      </c>
      <c r="Q382" s="378"/>
    </row>
    <row r="383" spans="1:13" ht="12">
      <c r="A383" s="41">
        <f t="shared" si="8"/>
        <v>7</v>
      </c>
      <c r="C383" s="4" t="s">
        <v>67</v>
      </c>
      <c r="E383" s="41">
        <f t="shared" si="9"/>
        <v>7</v>
      </c>
      <c r="F383" s="41"/>
      <c r="G383" s="71"/>
      <c r="H383" s="86"/>
      <c r="I383" s="71"/>
      <c r="J383" s="86"/>
      <c r="L383" s="71"/>
      <c r="M383" s="86"/>
    </row>
    <row r="384" spans="1:17" ht="12">
      <c r="A384" s="41">
        <f t="shared" si="8"/>
        <v>8</v>
      </c>
      <c r="C384" s="4" t="s">
        <v>62</v>
      </c>
      <c r="D384" s="4" t="s">
        <v>63</v>
      </c>
      <c r="E384" s="41">
        <f t="shared" si="9"/>
        <v>8</v>
      </c>
      <c r="F384" s="41"/>
      <c r="G384" s="206">
        <v>882.4</v>
      </c>
      <c r="H384" s="179">
        <f>9282678</f>
        <v>9282678</v>
      </c>
      <c r="I384" s="206">
        <v>856.1</v>
      </c>
      <c r="J384" s="228">
        <v>9064635</v>
      </c>
      <c r="K384" s="179"/>
      <c r="L384" s="206">
        <v>839.3</v>
      </c>
      <c r="M384" s="228">
        <v>9405183</v>
      </c>
      <c r="Q384" s="403"/>
    </row>
    <row r="385" spans="1:16" ht="12">
      <c r="A385" s="41">
        <f t="shared" si="8"/>
        <v>9</v>
      </c>
      <c r="D385" s="4" t="s">
        <v>64</v>
      </c>
      <c r="E385" s="41">
        <f t="shared" si="9"/>
        <v>9</v>
      </c>
      <c r="F385" s="41"/>
      <c r="G385" s="206">
        <v>2732.9</v>
      </c>
      <c r="H385" s="179">
        <f>20851277-53840</f>
        <v>20797437</v>
      </c>
      <c r="I385" s="206">
        <v>2860.7</v>
      </c>
      <c r="J385" s="228">
        <v>22489632</v>
      </c>
      <c r="K385" s="179"/>
      <c r="L385" s="206">
        <v>2903.9</v>
      </c>
      <c r="M385" s="228">
        <v>23334543</v>
      </c>
      <c r="P385" s="209"/>
    </row>
    <row r="386" spans="1:13" ht="12">
      <c r="A386" s="41">
        <f t="shared" si="8"/>
        <v>10</v>
      </c>
      <c r="C386" s="4" t="s">
        <v>65</v>
      </c>
      <c r="D386" s="4" t="s">
        <v>63</v>
      </c>
      <c r="E386" s="41">
        <f t="shared" si="9"/>
        <v>10</v>
      </c>
      <c r="F386" s="41"/>
      <c r="G386" s="206">
        <v>125.4</v>
      </c>
      <c r="H386" s="179">
        <f>3025540</f>
        <v>3025540</v>
      </c>
      <c r="I386" s="206">
        <v>122.4</v>
      </c>
      <c r="J386" s="179">
        <v>3079295</v>
      </c>
      <c r="K386" s="179"/>
      <c r="L386" s="206">
        <v>119.4</v>
      </c>
      <c r="M386" s="179">
        <v>3194981</v>
      </c>
    </row>
    <row r="387" spans="1:13" ht="12">
      <c r="A387" s="41">
        <f t="shared" si="8"/>
        <v>11</v>
      </c>
      <c r="D387" s="4" t="s">
        <v>64</v>
      </c>
      <c r="E387" s="41">
        <f t="shared" si="9"/>
        <v>11</v>
      </c>
      <c r="F387" s="41"/>
      <c r="G387" s="206">
        <v>174.7</v>
      </c>
      <c r="H387" s="179">
        <f>2716897</f>
        <v>2716897</v>
      </c>
      <c r="I387" s="206">
        <v>179.1</v>
      </c>
      <c r="J387" s="179">
        <v>2906446</v>
      </c>
      <c r="K387" s="179"/>
      <c r="L387" s="206">
        <v>183.9</v>
      </c>
      <c r="M387" s="179">
        <v>3015638</v>
      </c>
    </row>
    <row r="388" spans="1:13" ht="12">
      <c r="A388" s="41">
        <f t="shared" si="8"/>
        <v>12</v>
      </c>
      <c r="C388" s="4" t="s">
        <v>68</v>
      </c>
      <c r="E388" s="41">
        <f t="shared" si="9"/>
        <v>12</v>
      </c>
      <c r="F388" s="41"/>
      <c r="G388" s="71">
        <f>SUM(G384:G387)</f>
        <v>3915.4</v>
      </c>
      <c r="H388" s="86">
        <f>SUM(H384:H387)</f>
        <v>35822552</v>
      </c>
      <c r="I388" s="71">
        <f>SUM(I384:I387)</f>
        <v>4018.2999999999997</v>
      </c>
      <c r="J388" s="86">
        <f>SUM(J384:J387)</f>
        <v>37540008</v>
      </c>
      <c r="L388" s="71">
        <f>SUM(L384:L387)</f>
        <v>4046.5</v>
      </c>
      <c r="M388" s="86">
        <f>SUM(M384:M387)</f>
        <v>38950345</v>
      </c>
    </row>
    <row r="389" spans="1:13" ht="12">
      <c r="A389" s="41">
        <f t="shared" si="8"/>
        <v>13</v>
      </c>
      <c r="C389" s="4" t="s">
        <v>69</v>
      </c>
      <c r="E389" s="41">
        <f t="shared" si="9"/>
        <v>13</v>
      </c>
      <c r="F389" s="41"/>
      <c r="G389" s="71"/>
      <c r="H389" s="86"/>
      <c r="I389" s="71"/>
      <c r="J389" s="86"/>
      <c r="L389" s="71"/>
      <c r="M389" s="86"/>
    </row>
    <row r="390" spans="1:13" ht="12">
      <c r="A390" s="41">
        <f t="shared" si="8"/>
        <v>14</v>
      </c>
      <c r="C390" s="4" t="s">
        <v>62</v>
      </c>
      <c r="D390" s="4" t="s">
        <v>63</v>
      </c>
      <c r="E390" s="41">
        <f t="shared" si="9"/>
        <v>14</v>
      </c>
      <c r="F390" s="41"/>
      <c r="G390" s="185"/>
      <c r="H390" s="179"/>
      <c r="I390" s="185"/>
      <c r="J390" s="179"/>
      <c r="K390" s="179"/>
      <c r="L390" s="185"/>
      <c r="M390" s="179"/>
    </row>
    <row r="391" spans="1:13" ht="12">
      <c r="A391" s="41">
        <f t="shared" si="8"/>
        <v>15</v>
      </c>
      <c r="D391" s="4" t="s">
        <v>64</v>
      </c>
      <c r="E391" s="41">
        <f t="shared" si="9"/>
        <v>15</v>
      </c>
      <c r="F391" s="41"/>
      <c r="G391" s="185"/>
      <c r="H391" s="179"/>
      <c r="I391" s="185"/>
      <c r="J391" s="179"/>
      <c r="K391" s="179"/>
      <c r="L391" s="185"/>
      <c r="M391" s="179"/>
    </row>
    <row r="392" spans="1:13" ht="12">
      <c r="A392" s="41">
        <f t="shared" si="8"/>
        <v>16</v>
      </c>
      <c r="C392" s="4" t="s">
        <v>65</v>
      </c>
      <c r="D392" s="4" t="s">
        <v>63</v>
      </c>
      <c r="E392" s="41">
        <f t="shared" si="9"/>
        <v>16</v>
      </c>
      <c r="F392" s="41"/>
      <c r="G392" s="185"/>
      <c r="H392" s="179"/>
      <c r="I392" s="185"/>
      <c r="J392" s="179"/>
      <c r="K392" s="179"/>
      <c r="L392" s="185"/>
      <c r="M392" s="179"/>
    </row>
    <row r="393" spans="1:13" ht="12">
      <c r="A393" s="41">
        <f t="shared" si="8"/>
        <v>17</v>
      </c>
      <c r="D393" s="4" t="s">
        <v>64</v>
      </c>
      <c r="E393" s="41">
        <f t="shared" si="9"/>
        <v>17</v>
      </c>
      <c r="F393" s="41"/>
      <c r="G393" s="185"/>
      <c r="H393" s="179"/>
      <c r="I393" s="185"/>
      <c r="J393" s="179"/>
      <c r="K393" s="179"/>
      <c r="L393" s="185"/>
      <c r="M393" s="179"/>
    </row>
    <row r="394" spans="1:13" ht="12">
      <c r="A394" s="41">
        <f t="shared" si="8"/>
        <v>18</v>
      </c>
      <c r="C394" s="4" t="s">
        <v>70</v>
      </c>
      <c r="E394" s="41">
        <f t="shared" si="9"/>
        <v>18</v>
      </c>
      <c r="F394" s="41"/>
      <c r="G394" s="71">
        <f>SUM(G390:G393)</f>
        <v>0</v>
      </c>
      <c r="H394" s="86">
        <f>SUM(H390:H393)</f>
        <v>0</v>
      </c>
      <c r="I394" s="71">
        <f>SUM(I390:I393)</f>
        <v>0</v>
      </c>
      <c r="J394" s="86">
        <f>SUM(J390:J393)</f>
        <v>0</v>
      </c>
      <c r="L394" s="71">
        <f>SUM(L390:L393)</f>
        <v>0</v>
      </c>
      <c r="M394" s="86">
        <f>SUM(M390:M393)</f>
        <v>0</v>
      </c>
    </row>
    <row r="395" spans="1:12" ht="12">
      <c r="A395" s="41">
        <f t="shared" si="8"/>
        <v>19</v>
      </c>
      <c r="C395" s="4" t="s">
        <v>71</v>
      </c>
      <c r="E395" s="41">
        <f t="shared" si="9"/>
        <v>19</v>
      </c>
      <c r="F395" s="41"/>
      <c r="G395" s="207"/>
      <c r="I395" s="207"/>
      <c r="L395" s="207"/>
    </row>
    <row r="396" spans="1:13" ht="12">
      <c r="A396" s="41">
        <f t="shared" si="8"/>
        <v>20</v>
      </c>
      <c r="C396" s="4" t="s">
        <v>62</v>
      </c>
      <c r="D396" s="4" t="s">
        <v>63</v>
      </c>
      <c r="E396" s="41">
        <f t="shared" si="9"/>
        <v>20</v>
      </c>
      <c r="F396" s="41"/>
      <c r="G396" s="206">
        <v>870.8</v>
      </c>
      <c r="H396" s="179">
        <f>9168118</f>
        <v>9168118</v>
      </c>
      <c r="I396" s="206">
        <v>862.4</v>
      </c>
      <c r="J396" s="179">
        <v>9096506</v>
      </c>
      <c r="K396" s="179"/>
      <c r="L396" s="206">
        <v>845.5</v>
      </c>
      <c r="M396" s="179">
        <v>9435401</v>
      </c>
    </row>
    <row r="397" spans="1:16" ht="12">
      <c r="A397" s="41">
        <f t="shared" si="8"/>
        <v>21</v>
      </c>
      <c r="D397" s="4" t="s">
        <v>64</v>
      </c>
      <c r="E397" s="41">
        <f t="shared" si="9"/>
        <v>21</v>
      </c>
      <c r="F397" s="41"/>
      <c r="G397" s="206">
        <v>2590.3</v>
      </c>
      <c r="H397" s="179">
        <f>19985965-117120</f>
        <v>19868845</v>
      </c>
      <c r="I397" s="206">
        <v>2687.6</v>
      </c>
      <c r="J397" s="179">
        <v>21358286</v>
      </c>
      <c r="K397" s="179"/>
      <c r="L397" s="206">
        <v>2728.2</v>
      </c>
      <c r="M397" s="179">
        <v>22154000</v>
      </c>
      <c r="P397" s="209"/>
    </row>
    <row r="398" spans="1:13" ht="12">
      <c r="A398" s="41">
        <f t="shared" si="8"/>
        <v>22</v>
      </c>
      <c r="C398" s="4" t="s">
        <v>65</v>
      </c>
      <c r="D398" s="4" t="s">
        <v>63</v>
      </c>
      <c r="E398" s="41">
        <f t="shared" si="9"/>
        <v>22</v>
      </c>
      <c r="F398" s="41"/>
      <c r="G398" s="206">
        <v>114.1</v>
      </c>
      <c r="H398" s="179">
        <f>2828143</f>
        <v>2828143</v>
      </c>
      <c r="I398" s="206">
        <v>117.3</v>
      </c>
      <c r="J398" s="179">
        <v>2922333</v>
      </c>
      <c r="K398" s="179"/>
      <c r="L398" s="206">
        <v>114.5</v>
      </c>
      <c r="M398" s="179">
        <v>3031206</v>
      </c>
    </row>
    <row r="399" spans="1:16" ht="12">
      <c r="A399" s="41">
        <f t="shared" si="8"/>
        <v>23</v>
      </c>
      <c r="D399" s="4" t="s">
        <v>64</v>
      </c>
      <c r="E399" s="41">
        <f t="shared" si="9"/>
        <v>23</v>
      </c>
      <c r="F399" s="41"/>
      <c r="G399" s="206">
        <v>142.9</v>
      </c>
      <c r="H399" s="179">
        <f>2295192</f>
        <v>2295192</v>
      </c>
      <c r="I399" s="206">
        <v>175.8</v>
      </c>
      <c r="J399" s="179">
        <v>2990173</v>
      </c>
      <c r="K399" s="179"/>
      <c r="L399" s="206">
        <v>180.4</v>
      </c>
      <c r="M399" s="179">
        <v>3101573</v>
      </c>
      <c r="N399" s="36"/>
      <c r="P399" s="404"/>
    </row>
    <row r="400" spans="1:16" ht="12.75">
      <c r="A400" s="41">
        <v>24</v>
      </c>
      <c r="C400" s="4" t="s">
        <v>72</v>
      </c>
      <c r="E400" s="41">
        <v>24</v>
      </c>
      <c r="F400" s="41"/>
      <c r="G400" s="71">
        <f>SUM(G396:G399)</f>
        <v>3718.1000000000004</v>
      </c>
      <c r="H400" s="86">
        <f>SUM(H396:H399)</f>
        <v>34160298</v>
      </c>
      <c r="I400" s="71">
        <f>SUM(I396:I399)</f>
        <v>3843.1000000000004</v>
      </c>
      <c r="J400" s="86">
        <f>SUM(J396:J399)</f>
        <v>36367298</v>
      </c>
      <c r="K400" s="86"/>
      <c r="L400" s="71">
        <f>SUM(L396:L399)</f>
        <v>3868.6</v>
      </c>
      <c r="M400" s="86">
        <f>SUM(M396:M399)</f>
        <v>37722180</v>
      </c>
      <c r="N400" s="405"/>
      <c r="P400" s="404"/>
    </row>
    <row r="401" spans="1:16" ht="12.75">
      <c r="A401" s="41">
        <v>25</v>
      </c>
      <c r="C401" s="4" t="s">
        <v>73</v>
      </c>
      <c r="E401" s="41">
        <v>25</v>
      </c>
      <c r="F401" s="41"/>
      <c r="G401" s="207"/>
      <c r="I401" s="207"/>
      <c r="L401" s="207"/>
      <c r="N401" s="406"/>
      <c r="P401" s="404"/>
    </row>
    <row r="402" spans="1:16" ht="12.75">
      <c r="A402" s="41">
        <v>26</v>
      </c>
      <c r="C402" s="4" t="s">
        <v>62</v>
      </c>
      <c r="D402" s="4" t="s">
        <v>63</v>
      </c>
      <c r="E402" s="41">
        <v>26</v>
      </c>
      <c r="F402" s="41"/>
      <c r="G402" s="71">
        <f>SUM(G378,G384,G390,G396)</f>
        <v>2178.3999999999996</v>
      </c>
      <c r="H402" s="86">
        <f>SUM(H378,H384,H390,H396)</f>
        <v>22455929</v>
      </c>
      <c r="I402" s="71">
        <f>SUM(I378,I384,I390,I396)</f>
        <v>2099.2</v>
      </c>
      <c r="J402" s="86">
        <f>SUM(J378,J384,J390,J396)</f>
        <v>22287280</v>
      </c>
      <c r="L402" s="71">
        <f aca="true" t="shared" si="10" ref="L402:M405">SUM(L378,L384,L390,L396)</f>
        <v>2058</v>
      </c>
      <c r="M402" s="86">
        <f t="shared" si="10"/>
        <v>23138125</v>
      </c>
      <c r="N402" s="406"/>
      <c r="P402" s="404"/>
    </row>
    <row r="403" spans="1:16" ht="12.75">
      <c r="A403" s="41">
        <v>27</v>
      </c>
      <c r="D403" s="4" t="s">
        <v>64</v>
      </c>
      <c r="E403" s="41">
        <v>27</v>
      </c>
      <c r="F403" s="41"/>
      <c r="G403" s="71">
        <f aca="true" t="shared" si="11" ref="G403:H405">SUM(G379,G385,G391,G397)</f>
        <v>5878.3</v>
      </c>
      <c r="H403" s="86">
        <f t="shared" si="11"/>
        <v>44730083</v>
      </c>
      <c r="I403" s="71">
        <f aca="true" t="shared" si="12" ref="I403:J405">SUM(I379,I385,I391,I397)</f>
        <v>6106.799999999999</v>
      </c>
      <c r="J403" s="86">
        <f t="shared" si="12"/>
        <v>49097698</v>
      </c>
      <c r="L403" s="71">
        <f t="shared" si="10"/>
        <v>6199</v>
      </c>
      <c r="M403" s="86">
        <f t="shared" si="10"/>
        <v>50956403</v>
      </c>
      <c r="N403" s="406"/>
      <c r="P403" s="404"/>
    </row>
    <row r="404" spans="1:16" ht="12.75">
      <c r="A404" s="41">
        <v>28</v>
      </c>
      <c r="C404" s="4" t="s">
        <v>65</v>
      </c>
      <c r="D404" s="4" t="s">
        <v>63</v>
      </c>
      <c r="E404" s="41">
        <v>28</v>
      </c>
      <c r="F404" s="41"/>
      <c r="G404" s="71">
        <f t="shared" si="11"/>
        <v>255.7</v>
      </c>
      <c r="H404" s="86">
        <f t="shared" si="11"/>
        <v>6345247</v>
      </c>
      <c r="I404" s="71">
        <f t="shared" si="12"/>
        <v>255.2</v>
      </c>
      <c r="J404" s="86">
        <f t="shared" si="12"/>
        <v>6594760</v>
      </c>
      <c r="L404" s="71">
        <f t="shared" si="10"/>
        <v>249</v>
      </c>
      <c r="M404" s="86">
        <f t="shared" si="10"/>
        <v>6843958</v>
      </c>
      <c r="N404" s="406"/>
      <c r="P404" s="404"/>
    </row>
    <row r="405" spans="1:16" ht="12.75">
      <c r="A405" s="41">
        <v>29</v>
      </c>
      <c r="D405" s="4" t="s">
        <v>64</v>
      </c>
      <c r="E405" s="41">
        <v>29</v>
      </c>
      <c r="F405" s="41"/>
      <c r="G405" s="71">
        <f t="shared" si="11"/>
        <v>350.29999999999995</v>
      </c>
      <c r="H405" s="86">
        <f t="shared" si="11"/>
        <v>5685087</v>
      </c>
      <c r="I405" s="71">
        <f t="shared" si="12"/>
        <v>382.9</v>
      </c>
      <c r="J405" s="86">
        <f t="shared" si="12"/>
        <v>6540189</v>
      </c>
      <c r="L405" s="71">
        <f t="shared" si="10"/>
        <v>393</v>
      </c>
      <c r="M405" s="86">
        <f t="shared" si="10"/>
        <v>6787515</v>
      </c>
      <c r="N405" s="405"/>
      <c r="P405" s="404"/>
    </row>
    <row r="406" spans="1:16" ht="12.75">
      <c r="A406" s="41">
        <v>30</v>
      </c>
      <c r="E406" s="41">
        <v>30</v>
      </c>
      <c r="F406" s="41"/>
      <c r="G406" s="71"/>
      <c r="H406" s="86"/>
      <c r="I406" s="71"/>
      <c r="J406" s="86"/>
      <c r="L406" s="71"/>
      <c r="M406" s="86"/>
      <c r="N406" s="406"/>
      <c r="P406" s="404"/>
    </row>
    <row r="407" spans="1:16" ht="12.75">
      <c r="A407" s="41">
        <v>31</v>
      </c>
      <c r="C407" s="4" t="s">
        <v>74</v>
      </c>
      <c r="E407" s="41">
        <v>31</v>
      </c>
      <c r="F407" s="41"/>
      <c r="G407" s="207">
        <f>SUM(G402:G403)</f>
        <v>8056.7</v>
      </c>
      <c r="H407" s="86">
        <f>SUM(H402:H403)</f>
        <v>67186012</v>
      </c>
      <c r="I407" s="207">
        <f>SUM(I402:I403)</f>
        <v>8206</v>
      </c>
      <c r="J407" s="86">
        <f>SUM(J402:J403)</f>
        <v>71384978</v>
      </c>
      <c r="L407" s="207">
        <f>SUM(L402:L403)</f>
        <v>8257</v>
      </c>
      <c r="M407" s="86">
        <f>SUM(M402:M403)</f>
        <v>74094528</v>
      </c>
      <c r="N407" s="406"/>
      <c r="O407" s="407"/>
      <c r="P407" s="404"/>
    </row>
    <row r="408" spans="1:16" ht="12.75">
      <c r="A408" s="41">
        <v>32</v>
      </c>
      <c r="C408" s="4" t="s">
        <v>75</v>
      </c>
      <c r="E408" s="41">
        <v>32</v>
      </c>
      <c r="F408" s="41"/>
      <c r="G408" s="207">
        <f>SUM(G404:G405)</f>
        <v>606</v>
      </c>
      <c r="H408" s="86">
        <f>SUM(H404:H405)</f>
        <v>12030334</v>
      </c>
      <c r="I408" s="207">
        <f>SUM(I404:I405)</f>
        <v>638.0999999999999</v>
      </c>
      <c r="J408" s="86">
        <f>SUM(J404:J405)</f>
        <v>13134949</v>
      </c>
      <c r="L408" s="207">
        <f>SUM(L404:L405)</f>
        <v>642</v>
      </c>
      <c r="M408" s="86">
        <f>SUM(M404:M405)</f>
        <v>13631473</v>
      </c>
      <c r="N408" s="406"/>
      <c r="O408" s="407"/>
      <c r="P408" s="404"/>
    </row>
    <row r="409" spans="1:16" ht="12.75">
      <c r="A409" s="41">
        <v>33</v>
      </c>
      <c r="C409" s="4" t="s">
        <v>76</v>
      </c>
      <c r="E409" s="41">
        <v>33</v>
      </c>
      <c r="F409" s="41"/>
      <c r="G409" s="71">
        <f aca="true" t="shared" si="13" ref="G409:J410">SUM(G402,G404)</f>
        <v>2434.0999999999995</v>
      </c>
      <c r="H409" s="86">
        <f t="shared" si="13"/>
        <v>28801176</v>
      </c>
      <c r="I409" s="71">
        <f t="shared" si="13"/>
        <v>2354.3999999999996</v>
      </c>
      <c r="J409" s="86">
        <f t="shared" si="13"/>
        <v>28882040</v>
      </c>
      <c r="K409" s="86"/>
      <c r="L409" s="71">
        <f>SUM(L402,L404)</f>
        <v>2307</v>
      </c>
      <c r="M409" s="86">
        <f>SUM(M402,M404)</f>
        <v>29982083</v>
      </c>
      <c r="N409" s="406"/>
      <c r="O409" s="407"/>
      <c r="P409" s="404"/>
    </row>
    <row r="410" spans="1:16" ht="12">
      <c r="A410" s="41">
        <v>34</v>
      </c>
      <c r="C410" s="4" t="s">
        <v>244</v>
      </c>
      <c r="E410" s="41">
        <v>34</v>
      </c>
      <c r="F410" s="41"/>
      <c r="G410" s="71">
        <f t="shared" si="13"/>
        <v>6228.6</v>
      </c>
      <c r="H410" s="86">
        <f t="shared" si="13"/>
        <v>50415170</v>
      </c>
      <c r="I410" s="71">
        <f t="shared" si="13"/>
        <v>6489.699999999999</v>
      </c>
      <c r="J410" s="86">
        <f t="shared" si="13"/>
        <v>55637887</v>
      </c>
      <c r="K410" s="86"/>
      <c r="L410" s="71">
        <f>SUM(L403,L405)</f>
        <v>6592</v>
      </c>
      <c r="M410" s="86">
        <f>SUM(M403,M405)</f>
        <v>57743918</v>
      </c>
      <c r="N410" s="36"/>
      <c r="O410" s="407"/>
      <c r="P410" s="404"/>
    </row>
    <row r="411" spans="7:13" ht="8.25" customHeight="1">
      <c r="G411" s="18" t="s">
        <v>1</v>
      </c>
      <c r="H411" s="176" t="s">
        <v>1</v>
      </c>
      <c r="I411" s="18" t="s">
        <v>1</v>
      </c>
      <c r="J411" s="176" t="s">
        <v>1</v>
      </c>
      <c r="K411" s="176" t="s">
        <v>1</v>
      </c>
      <c r="L411" s="18" t="s">
        <v>1</v>
      </c>
      <c r="M411" s="176" t="s">
        <v>1</v>
      </c>
    </row>
    <row r="412" spans="1:13" ht="12">
      <c r="A412" s="41">
        <v>35</v>
      </c>
      <c r="C412" s="5" t="s">
        <v>77</v>
      </c>
      <c r="E412" s="41">
        <v>35</v>
      </c>
      <c r="F412" s="41"/>
      <c r="G412" s="71">
        <f>SUM(G409:G410)</f>
        <v>8662.7</v>
      </c>
      <c r="H412" s="86">
        <f>SUM(H409:H410)</f>
        <v>79216346</v>
      </c>
      <c r="I412" s="71">
        <f>SUM(I409:I410)</f>
        <v>8844.099999999999</v>
      </c>
      <c r="J412" s="86">
        <f>SUM(J409:J410)</f>
        <v>84519927</v>
      </c>
      <c r="L412" s="71">
        <f>SUM(L409:L410)</f>
        <v>8899</v>
      </c>
      <c r="M412" s="86">
        <f>SUM(M409:M410)</f>
        <v>87726001</v>
      </c>
    </row>
    <row r="413" spans="3:13" ht="12">
      <c r="C413" s="4" t="s">
        <v>201</v>
      </c>
      <c r="G413" s="176" t="s">
        <v>1</v>
      </c>
      <c r="H413" s="176" t="s">
        <v>1</v>
      </c>
      <c r="I413" s="176" t="s">
        <v>1</v>
      </c>
      <c r="J413" s="176" t="s">
        <v>1</v>
      </c>
      <c r="K413" s="176" t="s">
        <v>1</v>
      </c>
      <c r="L413" s="176" t="s">
        <v>1</v>
      </c>
      <c r="M413" s="176" t="s">
        <v>1</v>
      </c>
    </row>
    <row r="414" ht="0.75" customHeight="1"/>
    <row r="415" spans="1:13" ht="12">
      <c r="A415" s="5">
        <v>36</v>
      </c>
      <c r="C415" s="5" t="s">
        <v>504</v>
      </c>
      <c r="E415" s="5">
        <v>36</v>
      </c>
      <c r="G415" s="176"/>
      <c r="H415" s="86">
        <v>11913278</v>
      </c>
      <c r="I415" s="176"/>
      <c r="J415" s="86">
        <f>+J119</f>
        <v>12233800</v>
      </c>
      <c r="K415" s="176"/>
      <c r="L415" s="176"/>
      <c r="M415" s="86">
        <v>12997554</v>
      </c>
    </row>
    <row r="416" spans="3:13" ht="12">
      <c r="C416" s="5" t="s">
        <v>237</v>
      </c>
      <c r="G416" s="176"/>
      <c r="H416" s="176"/>
      <c r="I416" s="176"/>
      <c r="J416" s="86"/>
      <c r="K416" s="176"/>
      <c r="L416" s="176"/>
      <c r="M416" s="86"/>
    </row>
    <row r="417" ht="2.25" customHeight="1">
      <c r="A417" s="4"/>
    </row>
    <row r="418" ht="2.25" customHeight="1">
      <c r="A418" s="4"/>
    </row>
    <row r="419" ht="10.5" customHeight="1">
      <c r="A419" s="4"/>
    </row>
    <row r="420" spans="1:16" s="21" customFormat="1" ht="13.5" customHeight="1">
      <c r="A420" s="70" t="str">
        <f>$A$82</f>
        <v>Institution No.:  GFD</v>
      </c>
      <c r="E420" s="20"/>
      <c r="F420" s="20"/>
      <c r="G420" s="87"/>
      <c r="H420" s="87"/>
      <c r="I420" s="87"/>
      <c r="J420" s="87"/>
      <c r="K420" s="208"/>
      <c r="L420" s="87"/>
      <c r="M420" s="408" t="s">
        <v>78</v>
      </c>
      <c r="O420" s="375"/>
      <c r="P420" s="376"/>
    </row>
    <row r="421" spans="4:16" s="21" customFormat="1" ht="12">
      <c r="D421" s="26" t="s">
        <v>79</v>
      </c>
      <c r="E421" s="20"/>
      <c r="F421" s="20"/>
      <c r="G421" s="208"/>
      <c r="H421" s="87"/>
      <c r="I421" s="87"/>
      <c r="J421" s="87"/>
      <c r="K421" s="208"/>
      <c r="L421" s="87"/>
      <c r="M421" s="87"/>
      <c r="O421" s="375"/>
      <c r="P421" s="376"/>
    </row>
    <row r="422" spans="1:13" ht="12">
      <c r="A422" s="70" t="str">
        <f>$A$84</f>
        <v>NAME: University of Colorado - Denver</v>
      </c>
      <c r="G422" s="217"/>
      <c r="H422" s="218"/>
      <c r="I422" s="218"/>
      <c r="J422" s="219"/>
      <c r="L422" s="86"/>
      <c r="M422" s="213" t="str">
        <f>$M$3</f>
        <v>Date: 10/1/2007</v>
      </c>
    </row>
    <row r="423" spans="1:13" ht="12">
      <c r="A423" s="15" t="s">
        <v>1</v>
      </c>
      <c r="B423" s="15" t="s">
        <v>1</v>
      </c>
      <c r="C423" s="15" t="s">
        <v>1</v>
      </c>
      <c r="D423" s="15" t="s">
        <v>1</v>
      </c>
      <c r="E423" s="15" t="s">
        <v>1</v>
      </c>
      <c r="F423" s="15"/>
      <c r="G423" s="176" t="s">
        <v>1</v>
      </c>
      <c r="H423" s="176" t="s">
        <v>1</v>
      </c>
      <c r="I423" s="176" t="s">
        <v>1</v>
      </c>
      <c r="J423" s="176" t="s">
        <v>1</v>
      </c>
      <c r="K423" s="176" t="s">
        <v>1</v>
      </c>
      <c r="L423" s="176" t="s">
        <v>1</v>
      </c>
      <c r="M423" s="176" t="s">
        <v>1</v>
      </c>
    </row>
    <row r="424" spans="1:13" ht="12">
      <c r="A424" s="73" t="s">
        <v>2</v>
      </c>
      <c r="E424" s="73" t="s">
        <v>2</v>
      </c>
      <c r="F424" s="73"/>
      <c r="G424" s="86"/>
      <c r="H424" s="123" t="str">
        <f>$H$86</f>
        <v>2005-06</v>
      </c>
      <c r="I424" s="86"/>
      <c r="J424" s="123" t="str">
        <f>$J$86</f>
        <v>2006-07</v>
      </c>
      <c r="L424" s="86"/>
      <c r="M424" s="123" t="str">
        <f>$M$86</f>
        <v>2007-08</v>
      </c>
    </row>
    <row r="425" spans="1:13" ht="12">
      <c r="A425" s="73" t="s">
        <v>4</v>
      </c>
      <c r="C425" s="74" t="s">
        <v>20</v>
      </c>
      <c r="E425" s="73" t="s">
        <v>4</v>
      </c>
      <c r="F425" s="73"/>
      <c r="G425" s="86"/>
      <c r="H425" s="123" t="s">
        <v>7</v>
      </c>
      <c r="I425" s="86"/>
      <c r="J425" s="123" t="s">
        <v>7</v>
      </c>
      <c r="L425" s="86"/>
      <c r="M425" s="123" t="s">
        <v>8</v>
      </c>
    </row>
    <row r="426" spans="1:13" ht="12">
      <c r="A426" s="15" t="s">
        <v>1</v>
      </c>
      <c r="B426" s="15" t="s">
        <v>1</v>
      </c>
      <c r="C426" s="15" t="s">
        <v>1</v>
      </c>
      <c r="D426" s="15" t="s">
        <v>1</v>
      </c>
      <c r="E426" s="15" t="s">
        <v>1</v>
      </c>
      <c r="F426" s="15"/>
      <c r="G426" s="176" t="s">
        <v>1</v>
      </c>
      <c r="H426" s="176" t="s">
        <v>1</v>
      </c>
      <c r="I426" s="176" t="s">
        <v>1</v>
      </c>
      <c r="J426" s="176" t="s">
        <v>1</v>
      </c>
      <c r="K426" s="176" t="s">
        <v>1</v>
      </c>
      <c r="L426" s="176" t="s">
        <v>1</v>
      </c>
      <c r="M426" s="176" t="s">
        <v>1</v>
      </c>
    </row>
    <row r="427" spans="1:13" ht="12">
      <c r="A427" s="30">
        <v>1</v>
      </c>
      <c r="C427" s="4" t="s">
        <v>94</v>
      </c>
      <c r="E427" s="30">
        <v>1</v>
      </c>
      <c r="F427" s="30"/>
      <c r="G427" s="86"/>
      <c r="H427" s="86"/>
      <c r="I427" s="86"/>
      <c r="J427" s="86"/>
      <c r="L427" s="86"/>
      <c r="M427" s="86"/>
    </row>
    <row r="428" spans="1:13" ht="12">
      <c r="A428" s="30"/>
      <c r="C428" s="4"/>
      <c r="E428" s="30"/>
      <c r="F428" s="30"/>
      <c r="G428" s="86"/>
      <c r="H428" s="86"/>
      <c r="I428" s="86"/>
      <c r="J428" s="86"/>
      <c r="L428" s="86"/>
      <c r="M428" s="86"/>
    </row>
    <row r="429" spans="1:13" ht="12">
      <c r="A429" s="30">
        <f>(A427+1)</f>
        <v>2</v>
      </c>
      <c r="C429" s="4" t="s">
        <v>80</v>
      </c>
      <c r="E429" s="30">
        <f>(E427+1)</f>
        <v>2</v>
      </c>
      <c r="F429" s="30"/>
      <c r="G429" s="86"/>
      <c r="H429" s="179">
        <v>0</v>
      </c>
      <c r="I429" s="179"/>
      <c r="J429" s="179">
        <v>0</v>
      </c>
      <c r="K429" s="179"/>
      <c r="L429" s="179"/>
      <c r="M429" s="179">
        <v>0</v>
      </c>
    </row>
    <row r="430" spans="1:16" ht="12">
      <c r="A430" s="30">
        <f aca="true" t="shared" si="14" ref="A430:A435">(A429+1)</f>
        <v>3</v>
      </c>
      <c r="C430" s="4" t="s">
        <v>249</v>
      </c>
      <c r="E430" s="30">
        <f aca="true" t="shared" si="15" ref="E430:E435">(E429+1)</f>
        <v>3</v>
      </c>
      <c r="F430" s="30"/>
      <c r="G430" s="86"/>
      <c r="H430" s="179">
        <f>3762418</f>
        <v>3762418</v>
      </c>
      <c r="I430" s="179"/>
      <c r="J430" s="179">
        <f>4138460-J433</f>
        <v>3514600</v>
      </c>
      <c r="K430" s="179"/>
      <c r="L430" s="179"/>
      <c r="M430" s="179">
        <v>4152367</v>
      </c>
      <c r="N430" s="192"/>
      <c r="P430" s="220"/>
    </row>
    <row r="431" spans="1:17" ht="12">
      <c r="A431" s="30">
        <f t="shared" si="14"/>
        <v>4</v>
      </c>
      <c r="C431" s="4" t="s">
        <v>250</v>
      </c>
      <c r="E431" s="30">
        <f t="shared" si="15"/>
        <v>4</v>
      </c>
      <c r="F431" s="30"/>
      <c r="G431" s="86"/>
      <c r="I431" s="179"/>
      <c r="J431" s="179"/>
      <c r="K431" s="179"/>
      <c r="L431" s="179"/>
      <c r="M431" s="179"/>
      <c r="N431" s="378"/>
      <c r="P431" s="379"/>
      <c r="Q431" s="378"/>
    </row>
    <row r="432" spans="1:17" ht="12">
      <c r="A432" s="30">
        <f t="shared" si="14"/>
        <v>5</v>
      </c>
      <c r="C432" s="4" t="s">
        <v>589</v>
      </c>
      <c r="E432" s="30">
        <f t="shared" si="15"/>
        <v>5</v>
      </c>
      <c r="F432" s="30"/>
      <c r="G432" s="86"/>
      <c r="H432" s="179"/>
      <c r="I432" s="179"/>
      <c r="J432" s="179"/>
      <c r="K432" s="179"/>
      <c r="L432" s="179"/>
      <c r="M432" s="179"/>
      <c r="Q432" s="378"/>
    </row>
    <row r="433" spans="1:17" ht="12">
      <c r="A433" s="30">
        <f t="shared" si="14"/>
        <v>6</v>
      </c>
      <c r="C433" s="5" t="s">
        <v>263</v>
      </c>
      <c r="E433" s="30">
        <f>(E432+1)</f>
        <v>6</v>
      </c>
      <c r="F433" s="30"/>
      <c r="G433" s="86"/>
      <c r="H433" s="179">
        <v>721938</v>
      </c>
      <c r="I433" s="179"/>
      <c r="J433" s="179">
        <v>623860</v>
      </c>
      <c r="K433" s="179"/>
      <c r="L433" s="179"/>
      <c r="M433" s="179">
        <v>699150</v>
      </c>
      <c r="P433" s="209"/>
      <c r="Q433" s="378"/>
    </row>
    <row r="434" spans="1:17" ht="12">
      <c r="A434" s="30">
        <f t="shared" si="14"/>
        <v>7</v>
      </c>
      <c r="E434" s="30">
        <f t="shared" si="15"/>
        <v>7</v>
      </c>
      <c r="F434" s="30"/>
      <c r="G434" s="86"/>
      <c r="H434" s="179"/>
      <c r="I434" s="179"/>
      <c r="J434" s="179"/>
      <c r="K434" s="179"/>
      <c r="L434" s="179"/>
      <c r="M434" s="179"/>
      <c r="Q434" s="403"/>
    </row>
    <row r="435" spans="1:13" ht="12">
      <c r="A435" s="30">
        <f t="shared" si="14"/>
        <v>8</v>
      </c>
      <c r="E435" s="30">
        <f t="shared" si="15"/>
        <v>8</v>
      </c>
      <c r="F435" s="30"/>
      <c r="G435" s="86"/>
      <c r="H435" s="179"/>
      <c r="I435" s="179"/>
      <c r="J435" s="179"/>
      <c r="K435" s="179"/>
      <c r="L435" s="179"/>
      <c r="M435" s="179"/>
    </row>
    <row r="436" spans="1:13" ht="12">
      <c r="A436" s="30"/>
      <c r="E436" s="30"/>
      <c r="F436" s="30"/>
      <c r="G436" s="176" t="s">
        <v>1</v>
      </c>
      <c r="H436" s="176" t="s">
        <v>1</v>
      </c>
      <c r="I436" s="176" t="s">
        <v>1</v>
      </c>
      <c r="J436" s="176" t="s">
        <v>1</v>
      </c>
      <c r="K436" s="176" t="s">
        <v>1</v>
      </c>
      <c r="L436" s="176" t="s">
        <v>1</v>
      </c>
      <c r="M436" s="176" t="s">
        <v>1</v>
      </c>
    </row>
    <row r="437" spans="1:13" ht="12">
      <c r="A437" s="30">
        <v>9</v>
      </c>
      <c r="C437" s="5" t="s">
        <v>82</v>
      </c>
      <c r="E437" s="30">
        <v>9</v>
      </c>
      <c r="F437" s="30"/>
      <c r="G437" s="86"/>
      <c r="H437" s="179">
        <f>SUM(H429:H436)</f>
        <v>4484356</v>
      </c>
      <c r="I437" s="179"/>
      <c r="J437" s="179">
        <f>SUM(J429:J436)</f>
        <v>4138460</v>
      </c>
      <c r="K437" s="179"/>
      <c r="L437" s="179"/>
      <c r="M437" s="179">
        <f>SUM(M429:M436)</f>
        <v>4851517</v>
      </c>
    </row>
    <row r="438" spans="1:13" ht="12">
      <c r="A438" s="30"/>
      <c r="E438" s="30"/>
      <c r="F438" s="30"/>
      <c r="G438" s="176" t="s">
        <v>1</v>
      </c>
      <c r="H438" s="176" t="s">
        <v>1</v>
      </c>
      <c r="I438" s="176" t="s">
        <v>1</v>
      </c>
      <c r="J438" s="176" t="s">
        <v>1</v>
      </c>
      <c r="K438" s="176" t="s">
        <v>1</v>
      </c>
      <c r="L438" s="176" t="s">
        <v>1</v>
      </c>
      <c r="M438" s="176" t="s">
        <v>1</v>
      </c>
    </row>
    <row r="439" spans="1:16" ht="12">
      <c r="A439" s="30">
        <v>10</v>
      </c>
      <c r="C439" s="31" t="s">
        <v>83</v>
      </c>
      <c r="E439" s="30">
        <v>10</v>
      </c>
      <c r="F439" s="30"/>
      <c r="G439" s="86"/>
      <c r="H439" s="179">
        <v>603960</v>
      </c>
      <c r="I439" s="179"/>
      <c r="J439" s="179">
        <v>446191</v>
      </c>
      <c r="K439" s="179"/>
      <c r="L439" s="179"/>
      <c r="M439" s="179">
        <v>362726</v>
      </c>
      <c r="P439" s="209"/>
    </row>
    <row r="440" spans="1:13" ht="12">
      <c r="A440" s="30">
        <v>11</v>
      </c>
      <c r="C440" s="31" t="s">
        <v>506</v>
      </c>
      <c r="E440" s="30">
        <v>11</v>
      </c>
      <c r="F440" s="30"/>
      <c r="G440" s="86"/>
      <c r="H440" s="86"/>
      <c r="I440" s="86"/>
      <c r="J440" s="86"/>
      <c r="L440" s="86"/>
      <c r="M440" s="86"/>
    </row>
    <row r="441" spans="1:16" ht="12">
      <c r="A441" s="30">
        <v>12</v>
      </c>
      <c r="C441" s="31" t="s">
        <v>81</v>
      </c>
      <c r="D441" s="35"/>
      <c r="E441" s="30">
        <v>12</v>
      </c>
      <c r="F441" s="30"/>
      <c r="G441" s="86"/>
      <c r="H441" s="179">
        <f>3147789+1020+518426+1</f>
        <v>3667236</v>
      </c>
      <c r="I441" s="86"/>
      <c r="J441" s="86">
        <v>4931100</v>
      </c>
      <c r="L441" s="86"/>
      <c r="M441" s="86">
        <v>4466859</v>
      </c>
      <c r="P441" s="209"/>
    </row>
    <row r="442" spans="1:13" ht="12">
      <c r="A442" s="30">
        <v>13</v>
      </c>
      <c r="E442" s="30">
        <v>13</v>
      </c>
      <c r="F442" s="30"/>
      <c r="G442" s="86"/>
      <c r="H442" s="86"/>
      <c r="I442" s="86"/>
      <c r="J442" s="86"/>
      <c r="L442" s="86"/>
      <c r="M442" s="86"/>
    </row>
    <row r="443" spans="7:13" ht="12">
      <c r="G443" s="176" t="s">
        <v>1</v>
      </c>
      <c r="H443" s="176" t="s">
        <v>1</v>
      </c>
      <c r="I443" s="176" t="s">
        <v>1</v>
      </c>
      <c r="J443" s="176" t="s">
        <v>1</v>
      </c>
      <c r="K443" s="176" t="s">
        <v>1</v>
      </c>
      <c r="L443" s="176" t="s">
        <v>1</v>
      </c>
      <c r="M443" s="176" t="s">
        <v>1</v>
      </c>
    </row>
    <row r="444" spans="1:13" ht="12">
      <c r="A444" s="30">
        <v>14</v>
      </c>
      <c r="C444" s="5" t="s">
        <v>116</v>
      </c>
      <c r="E444" s="30">
        <v>14</v>
      </c>
      <c r="F444" s="30"/>
      <c r="G444" s="86"/>
      <c r="H444" s="86">
        <f>SUM(H439:H442)</f>
        <v>4271196</v>
      </c>
      <c r="I444" s="86"/>
      <c r="J444" s="86">
        <f>SUM(J439:J442)</f>
        <v>5377291</v>
      </c>
      <c r="L444" s="86"/>
      <c r="M444" s="86">
        <f>SUM(M439:M442)</f>
        <v>4829585</v>
      </c>
    </row>
    <row r="445" spans="1:13" ht="12">
      <c r="A445" s="30"/>
      <c r="E445" s="30"/>
      <c r="F445" s="30"/>
      <c r="G445" s="176" t="s">
        <v>1</v>
      </c>
      <c r="H445" s="176" t="s">
        <v>1</v>
      </c>
      <c r="I445" s="176" t="s">
        <v>1</v>
      </c>
      <c r="J445" s="176" t="s">
        <v>1</v>
      </c>
      <c r="K445" s="176" t="s">
        <v>1</v>
      </c>
      <c r="L445" s="176" t="s">
        <v>1</v>
      </c>
      <c r="M445" s="176" t="s">
        <v>1</v>
      </c>
    </row>
    <row r="446" spans="1:13" ht="12">
      <c r="A446" s="30">
        <v>15</v>
      </c>
      <c r="C446" s="31" t="s">
        <v>93</v>
      </c>
      <c r="D446" s="36"/>
      <c r="E446" s="30">
        <v>15</v>
      </c>
      <c r="F446" s="30"/>
      <c r="G446" s="86"/>
      <c r="H446" s="86">
        <f>SUM(H437,H444)</f>
        <v>8755552</v>
      </c>
      <c r="I446" s="86"/>
      <c r="J446" s="86">
        <f>SUM(J437,J444)</f>
        <v>9515751</v>
      </c>
      <c r="L446" s="86"/>
      <c r="M446" s="86">
        <f>SUM(M437,M444)</f>
        <v>9681102</v>
      </c>
    </row>
    <row r="447" spans="1:13" ht="12">
      <c r="A447" s="30"/>
      <c r="C447" s="31"/>
      <c r="D447" s="36"/>
      <c r="E447" s="30"/>
      <c r="F447" s="30"/>
      <c r="G447" s="86"/>
      <c r="H447" s="86"/>
      <c r="I447" s="86"/>
      <c r="J447" s="86"/>
      <c r="L447" s="86"/>
      <c r="M447" s="86"/>
    </row>
    <row r="448" spans="1:13" ht="12">
      <c r="A448" s="30"/>
      <c r="E448" s="30"/>
      <c r="F448" s="30"/>
      <c r="G448" s="86"/>
      <c r="H448" s="86"/>
      <c r="I448" s="86"/>
      <c r="J448" s="86"/>
      <c r="L448" s="86"/>
      <c r="M448" s="86"/>
    </row>
    <row r="449" spans="1:13" ht="12">
      <c r="A449" s="30">
        <v>16</v>
      </c>
      <c r="C449" s="5" t="s">
        <v>205</v>
      </c>
      <c r="E449" s="30">
        <v>16</v>
      </c>
      <c r="F449" s="30"/>
      <c r="G449" s="86"/>
      <c r="H449" s="86">
        <v>-749366</v>
      </c>
      <c r="I449" s="179"/>
      <c r="J449" s="86">
        <v>-4930</v>
      </c>
      <c r="K449" s="179"/>
      <c r="L449" s="179"/>
      <c r="M449" s="179"/>
    </row>
    <row r="450" spans="1:13" ht="12">
      <c r="A450" s="30">
        <v>17</v>
      </c>
      <c r="C450" s="4" t="s">
        <v>0</v>
      </c>
      <c r="E450" s="30">
        <v>17</v>
      </c>
      <c r="F450" s="30"/>
      <c r="H450" s="179"/>
      <c r="I450" s="179"/>
      <c r="J450" s="179"/>
      <c r="K450" s="179"/>
      <c r="L450" s="179"/>
      <c r="M450" s="179"/>
    </row>
    <row r="451" spans="1:6" ht="12">
      <c r="A451" s="30">
        <v>18</v>
      </c>
      <c r="E451" s="30">
        <v>18</v>
      </c>
      <c r="F451" s="30"/>
    </row>
    <row r="452" spans="1:6" ht="12">
      <c r="A452" s="30">
        <v>19</v>
      </c>
      <c r="E452" s="30">
        <v>19</v>
      </c>
      <c r="F452" s="30"/>
    </row>
    <row r="453" spans="1:13" ht="12">
      <c r="A453" s="30"/>
      <c r="C453" s="31"/>
      <c r="E453" s="30"/>
      <c r="F453" s="30"/>
      <c r="G453" s="176" t="s">
        <v>1</v>
      </c>
      <c r="H453" s="176" t="s">
        <v>1</v>
      </c>
      <c r="I453" s="176" t="s">
        <v>1</v>
      </c>
      <c r="J453" s="176" t="s">
        <v>1</v>
      </c>
      <c r="K453" s="176" t="s">
        <v>1</v>
      </c>
      <c r="L453" s="176" t="s">
        <v>1</v>
      </c>
      <c r="M453" s="176" t="s">
        <v>1</v>
      </c>
    </row>
    <row r="454" spans="1:13" ht="12">
      <c r="A454" s="30">
        <v>20</v>
      </c>
      <c r="C454" s="31" t="s">
        <v>92</v>
      </c>
      <c r="E454" s="30">
        <v>20</v>
      </c>
      <c r="F454" s="30"/>
      <c r="G454" s="86"/>
      <c r="H454" s="86">
        <f>SUM(H446+H449)</f>
        <v>8006186</v>
      </c>
      <c r="I454" s="86"/>
      <c r="J454" s="86">
        <f>SUM(J446+J449)</f>
        <v>9510821</v>
      </c>
      <c r="L454" s="86"/>
      <c r="M454" s="86">
        <f>SUM(M446+M449)</f>
        <v>9681102</v>
      </c>
    </row>
    <row r="455" spans="1:13" ht="12">
      <c r="A455" s="37"/>
      <c r="C455" s="204" t="s">
        <v>203</v>
      </c>
      <c r="E455" s="38"/>
      <c r="F455" s="38"/>
      <c r="G455" s="176" t="s">
        <v>1</v>
      </c>
      <c r="H455" s="176" t="s">
        <v>1</v>
      </c>
      <c r="I455" s="176" t="s">
        <v>1</v>
      </c>
      <c r="J455" s="176" t="s">
        <v>1</v>
      </c>
      <c r="K455" s="176" t="s">
        <v>1</v>
      </c>
      <c r="L455" s="176" t="s">
        <v>1</v>
      </c>
      <c r="M455" s="176" t="s">
        <v>1</v>
      </c>
    </row>
    <row r="456" spans="7:13" ht="12">
      <c r="G456" s="176"/>
      <c r="H456" s="176"/>
      <c r="I456" s="176"/>
      <c r="J456" s="86"/>
      <c r="K456" s="176"/>
      <c r="L456" s="176"/>
      <c r="M456" s="86"/>
    </row>
    <row r="457" spans="1:16" s="21" customFormat="1" ht="12">
      <c r="A457" s="70" t="str">
        <f>$A$82</f>
        <v>Institution No.:  GFD</v>
      </c>
      <c r="E457" s="20"/>
      <c r="F457" s="20"/>
      <c r="G457" s="87"/>
      <c r="H457" s="87"/>
      <c r="I457" s="87"/>
      <c r="J457" s="87"/>
      <c r="K457" s="208"/>
      <c r="L457" s="87"/>
      <c r="M457" s="212" t="s">
        <v>84</v>
      </c>
      <c r="O457" s="375"/>
      <c r="P457" s="376"/>
    </row>
    <row r="458" spans="4:16" s="21" customFormat="1" ht="12">
      <c r="D458" s="26" t="s">
        <v>85</v>
      </c>
      <c r="E458" s="20"/>
      <c r="F458" s="20"/>
      <c r="G458" s="87"/>
      <c r="H458" s="87"/>
      <c r="I458" s="87"/>
      <c r="J458" s="87"/>
      <c r="K458" s="208"/>
      <c r="L458" s="87"/>
      <c r="M458" s="87"/>
      <c r="O458" s="375"/>
      <c r="P458" s="376"/>
    </row>
    <row r="459" spans="1:13" ht="12">
      <c r="A459" s="70" t="str">
        <f>$A$84</f>
        <v>NAME: University of Colorado - Denver</v>
      </c>
      <c r="G459" s="217"/>
      <c r="H459" s="218"/>
      <c r="I459" s="218"/>
      <c r="J459" s="86"/>
      <c r="L459" s="86"/>
      <c r="M459" s="213" t="str">
        <f>$M$3</f>
        <v>Date: 10/1/2007</v>
      </c>
    </row>
    <row r="460" spans="1:13" ht="12">
      <c r="A460" s="15" t="s">
        <v>1</v>
      </c>
      <c r="B460" s="15" t="s">
        <v>1</v>
      </c>
      <c r="C460" s="15" t="s">
        <v>1</v>
      </c>
      <c r="D460" s="15" t="s">
        <v>1</v>
      </c>
      <c r="E460" s="15" t="s">
        <v>1</v>
      </c>
      <c r="F460" s="15"/>
      <c r="G460" s="176" t="s">
        <v>1</v>
      </c>
      <c r="H460" s="176" t="s">
        <v>1</v>
      </c>
      <c r="I460" s="176" t="s">
        <v>1</v>
      </c>
      <c r="J460" s="176" t="s">
        <v>1</v>
      </c>
      <c r="K460" s="176" t="s">
        <v>1</v>
      </c>
      <c r="L460" s="176" t="s">
        <v>1</v>
      </c>
      <c r="M460" s="176" t="s">
        <v>1</v>
      </c>
    </row>
    <row r="461" spans="1:13" ht="12">
      <c r="A461" s="73" t="s">
        <v>2</v>
      </c>
      <c r="E461" s="73" t="s">
        <v>2</v>
      </c>
      <c r="F461" s="73"/>
      <c r="G461" s="86"/>
      <c r="H461" s="123" t="str">
        <f>$H$86</f>
        <v>2005-06</v>
      </c>
      <c r="I461" s="86"/>
      <c r="J461" s="123" t="str">
        <f>$J$86</f>
        <v>2006-07</v>
      </c>
      <c r="L461" s="86"/>
      <c r="M461" s="123" t="str">
        <f>$M$86</f>
        <v>2007-08</v>
      </c>
    </row>
    <row r="462" spans="1:13" ht="12">
      <c r="A462" s="73" t="s">
        <v>4</v>
      </c>
      <c r="C462" s="74" t="s">
        <v>20</v>
      </c>
      <c r="E462" s="73" t="s">
        <v>4</v>
      </c>
      <c r="F462" s="73"/>
      <c r="G462" s="86"/>
      <c r="H462" s="123" t="s">
        <v>7</v>
      </c>
      <c r="I462" s="86"/>
      <c r="J462" s="123" t="s">
        <v>7</v>
      </c>
      <c r="L462" s="86"/>
      <c r="M462" s="123" t="s">
        <v>8</v>
      </c>
    </row>
    <row r="463" spans="1:13" ht="12">
      <c r="A463" s="15" t="s">
        <v>1</v>
      </c>
      <c r="B463" s="15" t="s">
        <v>1</v>
      </c>
      <c r="C463" s="15" t="s">
        <v>1</v>
      </c>
      <c r="D463" s="15" t="s">
        <v>1</v>
      </c>
      <c r="E463" s="15" t="s">
        <v>1</v>
      </c>
      <c r="F463" s="15"/>
      <c r="G463" s="176" t="s">
        <v>1</v>
      </c>
      <c r="H463" s="176" t="s">
        <v>1</v>
      </c>
      <c r="I463" s="176" t="s">
        <v>1</v>
      </c>
      <c r="J463" s="176" t="s">
        <v>1</v>
      </c>
      <c r="K463" s="176" t="s">
        <v>1</v>
      </c>
      <c r="L463" s="176" t="s">
        <v>1</v>
      </c>
      <c r="M463" s="176" t="s">
        <v>1</v>
      </c>
    </row>
    <row r="464" spans="1:13" ht="12">
      <c r="A464" s="30">
        <v>1</v>
      </c>
      <c r="C464" s="4" t="s">
        <v>95</v>
      </c>
      <c r="E464" s="30">
        <v>1</v>
      </c>
      <c r="F464" s="30"/>
      <c r="G464" s="86"/>
      <c r="H464" s="86"/>
      <c r="I464" s="86"/>
      <c r="J464" s="86"/>
      <c r="L464" s="86"/>
      <c r="M464" s="86"/>
    </row>
    <row r="465" spans="1:13" ht="12">
      <c r="A465" s="30"/>
      <c r="C465" s="4"/>
      <c r="E465" s="30"/>
      <c r="F465" s="30"/>
      <c r="G465" s="86"/>
      <c r="H465" s="86"/>
      <c r="I465" s="86"/>
      <c r="J465" s="86"/>
      <c r="L465" s="86"/>
      <c r="M465" s="86"/>
    </row>
    <row r="466" spans="1:16" ht="12">
      <c r="A466" s="30">
        <f>(A464+1)</f>
        <v>2</v>
      </c>
      <c r="C466" s="27" t="s">
        <v>86</v>
      </c>
      <c r="E466" s="30">
        <f>(E464+1)</f>
        <v>2</v>
      </c>
      <c r="F466" s="30"/>
      <c r="G466" s="86"/>
      <c r="H466" s="179">
        <f>2451334+62249</f>
        <v>2513583</v>
      </c>
      <c r="I466" s="179"/>
      <c r="J466" s="179">
        <v>2482013</v>
      </c>
      <c r="K466" s="179"/>
      <c r="L466" s="179"/>
      <c r="M466" s="179">
        <v>2200000</v>
      </c>
      <c r="P466" s="209"/>
    </row>
    <row r="467" spans="1:13" ht="12">
      <c r="A467" s="30">
        <f aca="true" t="shared" si="16" ref="A467:A472">(A466+1)</f>
        <v>3</v>
      </c>
      <c r="C467" s="27" t="s">
        <v>87</v>
      </c>
      <c r="E467" s="30">
        <f aca="true" t="shared" si="17" ref="E467:E472">(E466+1)</f>
        <v>3</v>
      </c>
      <c r="F467" s="30"/>
      <c r="G467" s="86"/>
      <c r="H467" s="179"/>
      <c r="I467" s="179"/>
      <c r="J467" s="179"/>
      <c r="K467" s="179"/>
      <c r="L467" s="179"/>
      <c r="M467" s="179">
        <v>0</v>
      </c>
    </row>
    <row r="468" spans="1:13" ht="12">
      <c r="A468" s="30">
        <f t="shared" si="16"/>
        <v>4</v>
      </c>
      <c r="C468" s="27" t="s">
        <v>264</v>
      </c>
      <c r="E468" s="30">
        <f t="shared" si="17"/>
        <v>4</v>
      </c>
      <c r="F468" s="30"/>
      <c r="G468" s="86"/>
      <c r="H468" s="179"/>
      <c r="I468" s="179"/>
      <c r="J468" s="179"/>
      <c r="K468" s="179"/>
      <c r="L468" s="179"/>
      <c r="M468" s="179"/>
    </row>
    <row r="469" spans="1:13" ht="12">
      <c r="A469" s="30">
        <f t="shared" si="16"/>
        <v>5</v>
      </c>
      <c r="C469" s="27"/>
      <c r="E469" s="30">
        <f t="shared" si="17"/>
        <v>5</v>
      </c>
      <c r="F469" s="30"/>
      <c r="G469" s="86"/>
      <c r="H469" s="179"/>
      <c r="I469" s="179"/>
      <c r="J469" s="179"/>
      <c r="K469" s="179"/>
      <c r="L469" s="179"/>
      <c r="M469" s="179"/>
    </row>
    <row r="470" spans="1:13" ht="12">
      <c r="A470" s="30">
        <f t="shared" si="16"/>
        <v>6</v>
      </c>
      <c r="C470" s="27"/>
      <c r="E470" s="30">
        <f t="shared" si="17"/>
        <v>6</v>
      </c>
      <c r="F470" s="30"/>
      <c r="G470" s="86"/>
      <c r="H470" s="179"/>
      <c r="I470" s="179"/>
      <c r="J470" s="179"/>
      <c r="K470" s="179"/>
      <c r="L470" s="179"/>
      <c r="M470" s="179"/>
    </row>
    <row r="471" spans="1:13" ht="12">
      <c r="A471" s="30">
        <f t="shared" si="16"/>
        <v>7</v>
      </c>
      <c r="C471" s="27"/>
      <c r="E471" s="30">
        <f t="shared" si="17"/>
        <v>7</v>
      </c>
      <c r="F471" s="30"/>
      <c r="G471" s="86"/>
      <c r="H471" s="179"/>
      <c r="I471" s="179"/>
      <c r="J471" s="179"/>
      <c r="K471" s="179"/>
      <c r="L471" s="179"/>
      <c r="M471" s="179"/>
    </row>
    <row r="472" spans="1:13" ht="12">
      <c r="A472" s="30">
        <f t="shared" si="16"/>
        <v>8</v>
      </c>
      <c r="C472" s="27"/>
      <c r="E472" s="30">
        <f t="shared" si="17"/>
        <v>8</v>
      </c>
      <c r="F472" s="30"/>
      <c r="G472" s="86"/>
      <c r="H472" s="179"/>
      <c r="I472" s="179"/>
      <c r="J472" s="179"/>
      <c r="K472" s="179"/>
      <c r="L472" s="179"/>
      <c r="M472" s="179"/>
    </row>
    <row r="473" spans="1:13" ht="12">
      <c r="A473" s="30"/>
      <c r="C473" s="27"/>
      <c r="E473" s="30"/>
      <c r="F473" s="30"/>
      <c r="G473" s="176" t="s">
        <v>1</v>
      </c>
      <c r="H473" s="176" t="s">
        <v>1</v>
      </c>
      <c r="I473" s="176" t="s">
        <v>1</v>
      </c>
      <c r="J473" s="176" t="s">
        <v>1</v>
      </c>
      <c r="K473" s="176" t="s">
        <v>1</v>
      </c>
      <c r="L473" s="176" t="s">
        <v>1</v>
      </c>
      <c r="M473" s="176" t="s">
        <v>1</v>
      </c>
    </row>
    <row r="474" spans="1:13" ht="12">
      <c r="A474" s="30">
        <v>9</v>
      </c>
      <c r="C474" s="5" t="s">
        <v>82</v>
      </c>
      <c r="E474" s="30">
        <v>9</v>
      </c>
      <c r="F474" s="30"/>
      <c r="G474" s="86"/>
      <c r="H474" s="179">
        <f>SUM(H466:H473)</f>
        <v>2513583</v>
      </c>
      <c r="I474" s="179"/>
      <c r="J474" s="179">
        <f>SUM(J466:J473)</f>
        <v>2482013</v>
      </c>
      <c r="K474" s="179"/>
      <c r="L474" s="179"/>
      <c r="M474" s="179">
        <f>SUM(M466:M473)</f>
        <v>2200000</v>
      </c>
    </row>
    <row r="475" spans="1:13" ht="12">
      <c r="A475" s="30"/>
      <c r="C475" s="27"/>
      <c r="E475" s="30"/>
      <c r="F475" s="30"/>
      <c r="G475" s="86"/>
      <c r="H475" s="179"/>
      <c r="I475" s="179"/>
      <c r="J475" s="179"/>
      <c r="K475" s="179"/>
      <c r="L475" s="179"/>
      <c r="M475" s="179"/>
    </row>
    <row r="476" spans="1:13" ht="12">
      <c r="A476" s="30">
        <v>10</v>
      </c>
      <c r="C476" s="31" t="s">
        <v>83</v>
      </c>
      <c r="E476" s="30">
        <v>10</v>
      </c>
      <c r="F476" s="30"/>
      <c r="G476" s="86"/>
      <c r="H476" s="179">
        <v>0</v>
      </c>
      <c r="I476" s="179"/>
      <c r="J476" s="179">
        <v>0</v>
      </c>
      <c r="K476" s="179"/>
      <c r="L476" s="179"/>
      <c r="M476" s="179">
        <v>0</v>
      </c>
    </row>
    <row r="477" spans="1:13" ht="12">
      <c r="A477" s="30">
        <v>11</v>
      </c>
      <c r="C477" s="31" t="s">
        <v>241</v>
      </c>
      <c r="E477" s="30">
        <v>11</v>
      </c>
      <c r="F477" s="30"/>
      <c r="G477" s="86"/>
      <c r="H477" s="179"/>
      <c r="I477" s="179"/>
      <c r="J477" s="179"/>
      <c r="K477" s="179"/>
      <c r="L477" s="179"/>
      <c r="M477" s="179"/>
    </row>
    <row r="478" spans="1:13" ht="12">
      <c r="A478" s="30">
        <v>12</v>
      </c>
      <c r="C478" s="31" t="s">
        <v>81</v>
      </c>
      <c r="E478" s="30">
        <v>12</v>
      </c>
      <c r="F478" s="30"/>
      <c r="G478" s="86"/>
      <c r="H478" s="179"/>
      <c r="I478" s="179"/>
      <c r="J478" s="179"/>
      <c r="K478" s="179"/>
      <c r="L478" s="179"/>
      <c r="M478" s="179"/>
    </row>
    <row r="479" spans="1:13" ht="12">
      <c r="A479" s="30">
        <v>13</v>
      </c>
      <c r="C479" s="27"/>
      <c r="E479" s="30">
        <v>13</v>
      </c>
      <c r="F479" s="30"/>
      <c r="G479" s="86"/>
      <c r="H479" s="179"/>
      <c r="I479" s="179"/>
      <c r="J479" s="179"/>
      <c r="K479" s="179"/>
      <c r="L479" s="179"/>
      <c r="M479" s="179"/>
    </row>
    <row r="480" spans="3:13" ht="12">
      <c r="C480" s="27"/>
      <c r="G480" s="176" t="s">
        <v>1</v>
      </c>
      <c r="H480" s="176" t="s">
        <v>1</v>
      </c>
      <c r="I480" s="176" t="s">
        <v>1</v>
      </c>
      <c r="J480" s="176" t="s">
        <v>1</v>
      </c>
      <c r="K480" s="176" t="s">
        <v>1</v>
      </c>
      <c r="L480" s="176" t="s">
        <v>1</v>
      </c>
      <c r="M480" s="176" t="s">
        <v>1</v>
      </c>
    </row>
    <row r="481" spans="1:13" ht="12">
      <c r="A481" s="30">
        <v>14</v>
      </c>
      <c r="C481" s="5" t="s">
        <v>116</v>
      </c>
      <c r="E481" s="30">
        <v>14</v>
      </c>
      <c r="F481" s="30"/>
      <c r="G481" s="86"/>
      <c r="H481" s="86">
        <f>SUM(H476:H480)</f>
        <v>0</v>
      </c>
      <c r="I481" s="86"/>
      <c r="J481" s="86">
        <f>SUM(J476:J480)</f>
        <v>0</v>
      </c>
      <c r="L481" s="86"/>
      <c r="M481" s="86">
        <f>SUM(M476:M480)</f>
        <v>0</v>
      </c>
    </row>
    <row r="482" spans="1:13" ht="12">
      <c r="A482" s="30"/>
      <c r="C482" s="27"/>
      <c r="E482" s="30"/>
      <c r="F482" s="30"/>
      <c r="G482" s="176" t="s">
        <v>1</v>
      </c>
      <c r="H482" s="176" t="s">
        <v>1</v>
      </c>
      <c r="I482" s="176" t="s">
        <v>1</v>
      </c>
      <c r="J482" s="176" t="s">
        <v>1</v>
      </c>
      <c r="K482" s="176" t="s">
        <v>1</v>
      </c>
      <c r="L482" s="176" t="s">
        <v>1</v>
      </c>
      <c r="M482" s="176" t="s">
        <v>1</v>
      </c>
    </row>
    <row r="483" spans="1:13" ht="12">
      <c r="A483" s="30">
        <v>15</v>
      </c>
      <c r="C483" s="4" t="s">
        <v>96</v>
      </c>
      <c r="E483" s="30">
        <v>15</v>
      </c>
      <c r="F483" s="30"/>
      <c r="G483" s="86"/>
      <c r="H483" s="86">
        <f>SUM(H474+H481)</f>
        <v>2513583</v>
      </c>
      <c r="I483" s="86"/>
      <c r="J483" s="86">
        <f>SUM(J474+J481)</f>
        <v>2482013</v>
      </c>
      <c r="L483" s="86"/>
      <c r="M483" s="86">
        <f>SUM(M474+M481)</f>
        <v>2200000</v>
      </c>
    </row>
    <row r="484" spans="1:13" ht="12">
      <c r="A484" s="30">
        <v>16</v>
      </c>
      <c r="C484" s="4" t="s">
        <v>206</v>
      </c>
      <c r="E484" s="30">
        <v>16</v>
      </c>
      <c r="F484" s="30"/>
      <c r="G484" s="86"/>
      <c r="H484" s="179">
        <v>0</v>
      </c>
      <c r="I484" s="179"/>
      <c r="J484" s="179">
        <v>0</v>
      </c>
      <c r="K484" s="179"/>
      <c r="L484" s="179"/>
      <c r="M484" s="179">
        <v>0</v>
      </c>
    </row>
    <row r="485" spans="1:13" ht="12">
      <c r="A485" s="30">
        <v>17</v>
      </c>
      <c r="C485" s="5" t="s">
        <v>207</v>
      </c>
      <c r="E485" s="30">
        <v>17</v>
      </c>
      <c r="F485" s="30"/>
      <c r="H485" s="179">
        <v>4057442</v>
      </c>
      <c r="I485" s="179"/>
      <c r="J485" s="179">
        <f>-H449</f>
        <v>749366</v>
      </c>
      <c r="K485" s="179"/>
      <c r="L485" s="179"/>
      <c r="M485" s="179"/>
    </row>
    <row r="486" spans="1:6" ht="12">
      <c r="A486" s="30">
        <v>18</v>
      </c>
      <c r="E486" s="30">
        <v>18</v>
      </c>
      <c r="F486" s="30"/>
    </row>
    <row r="487" spans="1:6" ht="12">
      <c r="A487" s="30">
        <v>19</v>
      </c>
      <c r="E487" s="30">
        <v>19</v>
      </c>
      <c r="F487" s="30"/>
    </row>
    <row r="488" spans="1:13" ht="12">
      <c r="A488" s="30"/>
      <c r="C488" s="31"/>
      <c r="E488" s="30"/>
      <c r="F488" s="30"/>
      <c r="G488" s="176" t="s">
        <v>1</v>
      </c>
      <c r="H488" s="176" t="s">
        <v>1</v>
      </c>
      <c r="I488" s="176" t="s">
        <v>1</v>
      </c>
      <c r="J488" s="176" t="s">
        <v>1</v>
      </c>
      <c r="K488" s="176" t="s">
        <v>1</v>
      </c>
      <c r="L488" s="176" t="s">
        <v>1</v>
      </c>
      <c r="M488" s="176" t="s">
        <v>1</v>
      </c>
    </row>
    <row r="489" spans="1:13" ht="12">
      <c r="A489" s="30">
        <v>20</v>
      </c>
      <c r="C489" s="31" t="s">
        <v>97</v>
      </c>
      <c r="E489" s="30">
        <v>20</v>
      </c>
      <c r="F489" s="30"/>
      <c r="G489" s="86"/>
      <c r="H489" s="86">
        <f>SUM(H483:H487)</f>
        <v>6571025</v>
      </c>
      <c r="I489" s="86"/>
      <c r="J489" s="86">
        <f>SUM(J483:J487)</f>
        <v>3231379</v>
      </c>
      <c r="L489" s="86"/>
      <c r="M489" s="86">
        <f>SUM(M483:M487)</f>
        <v>2200000</v>
      </c>
    </row>
    <row r="490" spans="1:13" ht="12">
      <c r="A490" s="37"/>
      <c r="C490" s="204" t="s">
        <v>204</v>
      </c>
      <c r="E490" s="38"/>
      <c r="F490" s="38"/>
      <c r="G490" s="176" t="s">
        <v>1</v>
      </c>
      <c r="H490" s="176" t="s">
        <v>1</v>
      </c>
      <c r="I490" s="176" t="s">
        <v>1</v>
      </c>
      <c r="J490" s="176" t="s">
        <v>1</v>
      </c>
      <c r="K490" s="176" t="s">
        <v>1</v>
      </c>
      <c r="L490" s="176" t="s">
        <v>1</v>
      </c>
      <c r="M490" s="176" t="s">
        <v>1</v>
      </c>
    </row>
    <row r="491" spans="1:13" ht="12">
      <c r="A491" s="37"/>
      <c r="C491" s="204"/>
      <c r="E491" s="38"/>
      <c r="F491" s="38"/>
      <c r="G491" s="176"/>
      <c r="H491" s="176"/>
      <c r="I491" s="176"/>
      <c r="J491" s="176"/>
      <c r="K491" s="176"/>
      <c r="L491" s="176"/>
      <c r="M491" s="176"/>
    </row>
    <row r="492" spans="1:13" ht="12">
      <c r="A492" s="70" t="str">
        <f>+A457</f>
        <v>Institution No.:  GFD</v>
      </c>
      <c r="B492" s="21"/>
      <c r="C492" s="21"/>
      <c r="D492" s="21"/>
      <c r="E492" s="20"/>
      <c r="F492" s="20"/>
      <c r="G492" s="21"/>
      <c r="H492" s="21"/>
      <c r="I492" s="22"/>
      <c r="J492" s="87"/>
      <c r="K492" s="21"/>
      <c r="L492" s="22"/>
      <c r="M492" s="69" t="s">
        <v>252</v>
      </c>
    </row>
    <row r="493" spans="1:13" ht="12">
      <c r="A493" s="21"/>
      <c r="B493" s="21"/>
      <c r="C493" s="21"/>
      <c r="D493" s="26" t="s">
        <v>251</v>
      </c>
      <c r="E493" s="20"/>
      <c r="F493" s="20"/>
      <c r="G493" s="21"/>
      <c r="H493" s="21"/>
      <c r="I493" s="22"/>
      <c r="J493" s="87"/>
      <c r="K493" s="21"/>
      <c r="L493" s="22"/>
      <c r="M493" s="23"/>
    </row>
    <row r="494" spans="1:13" ht="12">
      <c r="A494" s="70" t="str">
        <f>+A459</f>
        <v>NAME: University of Colorado - Denver</v>
      </c>
      <c r="G494" s="106"/>
      <c r="H494" s="106"/>
      <c r="I494" s="102"/>
      <c r="J494" s="86"/>
      <c r="K494" s="5"/>
      <c r="L494" s="6"/>
      <c r="M494" s="72" t="str">
        <f>$M$3</f>
        <v>Date: 10/1/2007</v>
      </c>
    </row>
    <row r="495" spans="1:13" ht="12">
      <c r="A495" s="15" t="s">
        <v>1</v>
      </c>
      <c r="B495" s="15" t="s">
        <v>1</v>
      </c>
      <c r="C495" s="15" t="s">
        <v>1</v>
      </c>
      <c r="D495" s="15" t="s">
        <v>1</v>
      </c>
      <c r="E495" s="15" t="s">
        <v>1</v>
      </c>
      <c r="F495" s="15"/>
      <c r="G495" s="15" t="s">
        <v>1</v>
      </c>
      <c r="H495" s="15"/>
      <c r="I495" s="16" t="s">
        <v>1</v>
      </c>
      <c r="J495" s="176" t="s">
        <v>1</v>
      </c>
      <c r="K495" s="15" t="s">
        <v>1</v>
      </c>
      <c r="L495" s="16" t="s">
        <v>1</v>
      </c>
      <c r="M495" s="19" t="s">
        <v>1</v>
      </c>
    </row>
    <row r="496" spans="1:13" ht="12">
      <c r="A496" s="73" t="s">
        <v>2</v>
      </c>
      <c r="E496" s="73" t="s">
        <v>2</v>
      </c>
      <c r="F496" s="73"/>
      <c r="G496" s="5"/>
      <c r="H496" s="5"/>
      <c r="I496" s="2"/>
      <c r="J496" s="123" t="s">
        <v>280</v>
      </c>
      <c r="K496" s="1"/>
      <c r="L496" s="2"/>
      <c r="M496" s="3" t="s">
        <v>289</v>
      </c>
    </row>
    <row r="497" spans="1:13" ht="12">
      <c r="A497" s="73" t="s">
        <v>4</v>
      </c>
      <c r="C497" s="74" t="s">
        <v>20</v>
      </c>
      <c r="E497" s="73" t="s">
        <v>4</v>
      </c>
      <c r="F497" s="73"/>
      <c r="G497" s="5"/>
      <c r="H497" s="5"/>
      <c r="I497" s="6"/>
      <c r="J497" s="123" t="s">
        <v>7</v>
      </c>
      <c r="K497" s="5"/>
      <c r="L497" s="6"/>
      <c r="M497" s="3" t="s">
        <v>8</v>
      </c>
    </row>
    <row r="498" spans="1:13" ht="12">
      <c r="A498" s="15" t="s">
        <v>1</v>
      </c>
      <c r="B498" s="15" t="s">
        <v>1</v>
      </c>
      <c r="C498" s="15" t="s">
        <v>1</v>
      </c>
      <c r="D498" s="15" t="s">
        <v>1</v>
      </c>
      <c r="E498" s="15" t="s">
        <v>1</v>
      </c>
      <c r="F498" s="15"/>
      <c r="G498" s="15" t="s">
        <v>1</v>
      </c>
      <c r="H498" s="15"/>
      <c r="I498" s="16" t="s">
        <v>1</v>
      </c>
      <c r="J498" s="176" t="s">
        <v>1</v>
      </c>
      <c r="K498" s="15" t="s">
        <v>1</v>
      </c>
      <c r="L498" s="16" t="s">
        <v>1</v>
      </c>
      <c r="M498" s="19" t="s">
        <v>1</v>
      </c>
    </row>
    <row r="499" spans="1:13" ht="12">
      <c r="A499" s="30">
        <v>1</v>
      </c>
      <c r="C499" s="4" t="s">
        <v>259</v>
      </c>
      <c r="E499" s="30">
        <v>1</v>
      </c>
      <c r="F499" s="30"/>
      <c r="G499" s="5"/>
      <c r="H499" s="5"/>
      <c r="I499" s="34"/>
      <c r="J499" s="210"/>
      <c r="K499" s="33"/>
      <c r="L499" s="34"/>
      <c r="M499" s="34"/>
    </row>
    <row r="500" spans="1:13" ht="12">
      <c r="A500" s="30"/>
      <c r="C500" s="4"/>
      <c r="E500" s="30"/>
      <c r="F500" s="30"/>
      <c r="G500" s="5"/>
      <c r="H500" s="5"/>
      <c r="I500" s="34"/>
      <c r="J500" s="210"/>
      <c r="K500" s="33"/>
      <c r="L500" s="34"/>
      <c r="M500" s="34"/>
    </row>
    <row r="501" spans="1:13" ht="12">
      <c r="A501" s="30">
        <f>(A499+1)</f>
        <v>2</v>
      </c>
      <c r="C501" s="27" t="s">
        <v>260</v>
      </c>
      <c r="E501" s="30">
        <f>(E499+1)</f>
        <v>2</v>
      </c>
      <c r="F501" s="30"/>
      <c r="G501" s="27"/>
      <c r="H501" s="27"/>
      <c r="I501" s="32"/>
      <c r="J501" s="211">
        <v>0</v>
      </c>
      <c r="K501" s="32"/>
      <c r="L501" s="32"/>
      <c r="M501" s="32">
        <v>0</v>
      </c>
    </row>
    <row r="502" spans="1:13" ht="12">
      <c r="A502" s="30">
        <f>(A501+1)</f>
        <v>3</v>
      </c>
      <c r="C502" s="27" t="s">
        <v>253</v>
      </c>
      <c r="E502" s="30">
        <f>(E501+1)</f>
        <v>3</v>
      </c>
      <c r="F502" s="30"/>
      <c r="G502" s="27"/>
      <c r="H502" s="27"/>
      <c r="I502" s="32"/>
      <c r="J502" s="211">
        <v>0</v>
      </c>
      <c r="K502" s="32"/>
      <c r="L502" s="32"/>
      <c r="M502" s="32">
        <v>0</v>
      </c>
    </row>
    <row r="503" spans="1:13" ht="12">
      <c r="A503" s="30">
        <f>(A502+1)</f>
        <v>4</v>
      </c>
      <c r="C503" s="27" t="s">
        <v>254</v>
      </c>
      <c r="E503" s="30">
        <f>(E502+1)</f>
        <v>4</v>
      </c>
      <c r="F503" s="30"/>
      <c r="G503" s="27"/>
      <c r="H503" s="27"/>
      <c r="I503" s="32"/>
      <c r="J503" s="211"/>
      <c r="K503" s="32"/>
      <c r="L503" s="32"/>
      <c r="M503" s="32"/>
    </row>
    <row r="504" spans="1:13" ht="12">
      <c r="A504" s="30"/>
      <c r="C504" s="27"/>
      <c r="E504" s="30"/>
      <c r="F504" s="30"/>
      <c r="G504" s="24" t="s">
        <v>1</v>
      </c>
      <c r="H504" s="24"/>
      <c r="I504" s="16" t="s">
        <v>1</v>
      </c>
      <c r="J504" s="176"/>
      <c r="K504" s="24"/>
      <c r="L504" s="16"/>
      <c r="M504" s="19"/>
    </row>
    <row r="505" spans="1:13" ht="12">
      <c r="A505" s="30">
        <v>9</v>
      </c>
      <c r="C505" s="5" t="s">
        <v>223</v>
      </c>
      <c r="E505" s="30">
        <v>9</v>
      </c>
      <c r="F505" s="30"/>
      <c r="G505" s="27"/>
      <c r="H505" s="27"/>
      <c r="I505" s="32"/>
      <c r="J505" s="211">
        <f>SUM(J501:J502)</f>
        <v>0</v>
      </c>
      <c r="K505" s="32"/>
      <c r="L505" s="32"/>
      <c r="M505" s="32">
        <f>SUM(M501:M502)</f>
        <v>0</v>
      </c>
    </row>
    <row r="506" spans="1:13" ht="12">
      <c r="A506" s="30"/>
      <c r="E506" s="30"/>
      <c r="F506" s="30"/>
      <c r="G506" s="27"/>
      <c r="H506" s="27"/>
      <c r="I506" s="32"/>
      <c r="J506" s="211"/>
      <c r="K506" s="32"/>
      <c r="L506" s="32"/>
      <c r="M506" s="32"/>
    </row>
    <row r="507" spans="1:13" ht="12">
      <c r="A507" s="30"/>
      <c r="E507" s="30"/>
      <c r="F507" s="30"/>
      <c r="G507" s="27"/>
      <c r="H507" s="27"/>
      <c r="I507" s="32"/>
      <c r="J507" s="211"/>
      <c r="K507" s="32"/>
      <c r="L507" s="32"/>
      <c r="M507" s="32"/>
    </row>
    <row r="508" spans="1:13" ht="12">
      <c r="A508" s="30"/>
      <c r="E508" s="30"/>
      <c r="F508" s="30"/>
      <c r="G508" s="27"/>
      <c r="H508" s="27"/>
      <c r="I508" s="32"/>
      <c r="J508" s="211"/>
      <c r="K508" s="32"/>
      <c r="L508" s="32"/>
      <c r="M508" s="32"/>
    </row>
    <row r="509" spans="1:13" ht="12">
      <c r="A509" s="30"/>
      <c r="E509" s="30"/>
      <c r="F509" s="30"/>
      <c r="G509" s="27"/>
      <c r="H509" s="27"/>
      <c r="I509" s="32"/>
      <c r="J509" s="211"/>
      <c r="K509" s="32"/>
      <c r="L509" s="32"/>
      <c r="M509" s="32"/>
    </row>
    <row r="510" spans="1:13" ht="12">
      <c r="A510" s="30"/>
      <c r="E510" s="30"/>
      <c r="F510" s="30"/>
      <c r="G510" s="27"/>
      <c r="H510" s="27"/>
      <c r="I510" s="32"/>
      <c r="J510" s="211"/>
      <c r="K510" s="32"/>
      <c r="L510" s="32"/>
      <c r="M510" s="32"/>
    </row>
    <row r="511" spans="1:13" ht="12">
      <c r="A511" s="30"/>
      <c r="E511" s="30"/>
      <c r="F511" s="30"/>
      <c r="G511" s="27"/>
      <c r="H511" s="27"/>
      <c r="I511" s="32"/>
      <c r="J511" s="211"/>
      <c r="K511" s="32"/>
      <c r="L511" s="32"/>
      <c r="M511" s="32"/>
    </row>
    <row r="512" spans="1:13" ht="12">
      <c r="A512" s="30"/>
      <c r="E512" s="30"/>
      <c r="F512" s="30"/>
      <c r="G512" s="27"/>
      <c r="H512" s="27"/>
      <c r="I512" s="32"/>
      <c r="J512" s="211"/>
      <c r="K512" s="32"/>
      <c r="L512" s="32"/>
      <c r="M512" s="32"/>
    </row>
    <row r="513" spans="1:13" ht="12">
      <c r="A513" s="30"/>
      <c r="E513" s="30"/>
      <c r="F513" s="30"/>
      <c r="G513" s="27"/>
      <c r="H513" s="27"/>
      <c r="I513" s="32"/>
      <c r="J513" s="211"/>
      <c r="K513" s="32"/>
      <c r="L513" s="32"/>
      <c r="M513" s="32"/>
    </row>
    <row r="514" spans="1:13" ht="12">
      <c r="A514" s="30"/>
      <c r="E514" s="30"/>
      <c r="F514" s="30"/>
      <c r="G514" s="27"/>
      <c r="H514" s="27"/>
      <c r="I514" s="32"/>
      <c r="J514" s="211"/>
      <c r="K514" s="32"/>
      <c r="L514" s="32"/>
      <c r="M514" s="32"/>
    </row>
    <row r="515" spans="1:13" ht="12">
      <c r="A515" s="30"/>
      <c r="E515" s="30"/>
      <c r="F515" s="30"/>
      <c r="G515" s="27"/>
      <c r="H515" s="27"/>
      <c r="I515" s="32"/>
      <c r="J515" s="211"/>
      <c r="K515" s="32"/>
      <c r="L515" s="32"/>
      <c r="M515" s="32"/>
    </row>
    <row r="516" spans="1:13" ht="12">
      <c r="A516" s="30"/>
      <c r="E516" s="30"/>
      <c r="F516" s="30"/>
      <c r="G516" s="27"/>
      <c r="H516" s="27"/>
      <c r="I516" s="32"/>
      <c r="J516" s="211"/>
      <c r="K516" s="32"/>
      <c r="L516" s="32"/>
      <c r="M516" s="32"/>
    </row>
    <row r="517" spans="1:13" ht="12">
      <c r="A517" s="30"/>
      <c r="E517" s="30"/>
      <c r="F517" s="30"/>
      <c r="G517" s="27"/>
      <c r="H517" s="27"/>
      <c r="I517" s="32"/>
      <c r="J517" s="211"/>
      <c r="K517" s="32"/>
      <c r="L517" s="32"/>
      <c r="M517" s="32"/>
    </row>
    <row r="518" spans="1:13" ht="12">
      <c r="A518" s="30"/>
      <c r="E518" s="30"/>
      <c r="F518" s="30"/>
      <c r="G518" s="27"/>
      <c r="H518" s="27"/>
      <c r="I518" s="32"/>
      <c r="J518" s="211"/>
      <c r="K518" s="32"/>
      <c r="L518" s="32"/>
      <c r="M518" s="32"/>
    </row>
    <row r="519" spans="1:13" ht="12">
      <c r="A519" s="30"/>
      <c r="E519" s="30"/>
      <c r="F519" s="30"/>
      <c r="G519" s="27"/>
      <c r="H519" s="27"/>
      <c r="I519" s="32"/>
      <c r="J519" s="211"/>
      <c r="K519" s="32"/>
      <c r="L519" s="32"/>
      <c r="M519" s="32"/>
    </row>
    <row r="520" spans="1:13" ht="12">
      <c r="A520" s="30"/>
      <c r="E520" s="30"/>
      <c r="F520" s="30"/>
      <c r="G520" s="27"/>
      <c r="H520" s="27"/>
      <c r="I520" s="32"/>
      <c r="J520" s="211"/>
      <c r="K520" s="32"/>
      <c r="L520" s="32"/>
      <c r="M520" s="32"/>
    </row>
    <row r="521" spans="1:13" ht="12">
      <c r="A521" s="30"/>
      <c r="E521" s="30"/>
      <c r="F521" s="30"/>
      <c r="G521" s="27"/>
      <c r="H521" s="27"/>
      <c r="I521" s="32"/>
      <c r="J521" s="211"/>
      <c r="K521" s="32"/>
      <c r="L521" s="32"/>
      <c r="M521" s="32"/>
    </row>
    <row r="522" spans="1:13" ht="12">
      <c r="A522" s="30"/>
      <c r="E522" s="30"/>
      <c r="F522" s="30"/>
      <c r="G522" s="27"/>
      <c r="H522" s="27"/>
      <c r="I522" s="32"/>
      <c r="J522" s="211"/>
      <c r="K522" s="32"/>
      <c r="L522" s="32"/>
      <c r="M522" s="32"/>
    </row>
    <row r="523" spans="1:13" ht="12">
      <c r="A523" s="30"/>
      <c r="E523" s="30"/>
      <c r="F523" s="30"/>
      <c r="G523" s="27"/>
      <c r="H523" s="27"/>
      <c r="I523" s="32"/>
      <c r="J523" s="211"/>
      <c r="K523" s="32"/>
      <c r="L523" s="32"/>
      <c r="M523" s="32"/>
    </row>
    <row r="524" spans="1:13" ht="12">
      <c r="A524" s="30"/>
      <c r="C524" s="27"/>
      <c r="E524" s="30"/>
      <c r="F524" s="30"/>
      <c r="G524" s="27"/>
      <c r="H524" s="27"/>
      <c r="I524" s="32"/>
      <c r="J524" s="211"/>
      <c r="K524" s="32"/>
      <c r="L524" s="32"/>
      <c r="M524" s="32"/>
    </row>
    <row r="525" spans="1:13" ht="12">
      <c r="A525" s="30"/>
      <c r="C525" s="27"/>
      <c r="E525" s="30"/>
      <c r="F525" s="30"/>
      <c r="G525" s="27"/>
      <c r="H525" s="27"/>
      <c r="I525" s="32"/>
      <c r="J525" s="211"/>
      <c r="K525" s="32"/>
      <c r="L525" s="32"/>
      <c r="M525" s="32"/>
    </row>
    <row r="526" spans="1:16" s="21" customFormat="1" ht="12">
      <c r="A526" s="70" t="str">
        <f>$A$82</f>
        <v>Institution No.:  GFD</v>
      </c>
      <c r="E526" s="20"/>
      <c r="F526" s="20"/>
      <c r="G526" s="87"/>
      <c r="H526" s="87"/>
      <c r="I526" s="87"/>
      <c r="J526" s="87"/>
      <c r="K526" s="208"/>
      <c r="L526" s="87"/>
      <c r="M526" s="212" t="s">
        <v>89</v>
      </c>
      <c r="O526" s="375"/>
      <c r="P526" s="376"/>
    </row>
    <row r="527" spans="1:13" ht="12">
      <c r="A527" s="423" t="s">
        <v>242</v>
      </c>
      <c r="B527" s="423"/>
      <c r="C527" s="423"/>
      <c r="D527" s="423"/>
      <c r="E527" s="423"/>
      <c r="F527" s="423"/>
      <c r="G527" s="423"/>
      <c r="H527" s="423"/>
      <c r="I527" s="423"/>
      <c r="J527" s="423"/>
      <c r="K527" s="423"/>
      <c r="L527" s="423"/>
      <c r="M527" s="423"/>
    </row>
    <row r="528" spans="1:13" ht="12">
      <c r="A528" s="70" t="str">
        <f>$A$84</f>
        <v>NAME: University of Colorado - Denver</v>
      </c>
      <c r="J528" s="86"/>
      <c r="L528" s="86"/>
      <c r="M528" s="213" t="str">
        <f>$M$3</f>
        <v>Date: 10/1/2007</v>
      </c>
    </row>
    <row r="529" spans="1:13" ht="12">
      <c r="A529" s="15" t="s">
        <v>1</v>
      </c>
      <c r="B529" s="15" t="s">
        <v>1</v>
      </c>
      <c r="C529" s="15" t="s">
        <v>1</v>
      </c>
      <c r="D529" s="15" t="s">
        <v>1</v>
      </c>
      <c r="E529" s="15" t="s">
        <v>1</v>
      </c>
      <c r="F529" s="15"/>
      <c r="G529" s="176" t="s">
        <v>1</v>
      </c>
      <c r="H529" s="176" t="s">
        <v>1</v>
      </c>
      <c r="I529" s="176" t="s">
        <v>1</v>
      </c>
      <c r="J529" s="176" t="s">
        <v>1</v>
      </c>
      <c r="K529" s="176" t="s">
        <v>1</v>
      </c>
      <c r="L529" s="176" t="s">
        <v>1</v>
      </c>
      <c r="M529" s="176" t="s">
        <v>1</v>
      </c>
    </row>
    <row r="530" spans="1:13" ht="12">
      <c r="A530" s="73" t="s">
        <v>2</v>
      </c>
      <c r="E530" s="73" t="s">
        <v>2</v>
      </c>
      <c r="F530" s="73"/>
      <c r="G530" s="123"/>
      <c r="H530" s="123" t="str">
        <f>$H$86</f>
        <v>2005-06</v>
      </c>
      <c r="I530" s="86"/>
      <c r="J530" s="123" t="str">
        <f>$J$86</f>
        <v>2006-07</v>
      </c>
      <c r="L530" s="86"/>
      <c r="M530" s="123" t="str">
        <f>$M$86</f>
        <v>2007-08</v>
      </c>
    </row>
    <row r="531" spans="1:13" ht="12">
      <c r="A531" s="73" t="s">
        <v>4</v>
      </c>
      <c r="C531" s="74" t="s">
        <v>20</v>
      </c>
      <c r="E531" s="73" t="s">
        <v>4</v>
      </c>
      <c r="F531" s="73"/>
      <c r="G531" s="123"/>
      <c r="H531" s="123" t="s">
        <v>7</v>
      </c>
      <c r="I531" s="123"/>
      <c r="J531" s="123" t="s">
        <v>7</v>
      </c>
      <c r="K531" s="191"/>
      <c r="L531" s="123"/>
      <c r="M531" s="123" t="s">
        <v>8</v>
      </c>
    </row>
    <row r="532" spans="1:13" ht="12">
      <c r="A532" s="15" t="s">
        <v>1</v>
      </c>
      <c r="B532" s="15" t="s">
        <v>1</v>
      </c>
      <c r="C532" s="15" t="s">
        <v>1</v>
      </c>
      <c r="D532" s="15" t="s">
        <v>1</v>
      </c>
      <c r="E532" s="15" t="s">
        <v>1</v>
      </c>
      <c r="F532" s="15"/>
      <c r="G532" s="176" t="s">
        <v>1</v>
      </c>
      <c r="H532" s="176" t="s">
        <v>1</v>
      </c>
      <c r="I532" s="176" t="s">
        <v>1</v>
      </c>
      <c r="J532" s="176" t="s">
        <v>1</v>
      </c>
      <c r="K532" s="176" t="s">
        <v>1</v>
      </c>
      <c r="L532" s="176" t="s">
        <v>1</v>
      </c>
      <c r="M532" s="176" t="s">
        <v>1</v>
      </c>
    </row>
    <row r="533" spans="1:13" ht="12">
      <c r="A533" s="107">
        <v>1</v>
      </c>
      <c r="C533" s="4" t="s">
        <v>90</v>
      </c>
      <c r="E533" s="107">
        <v>1</v>
      </c>
      <c r="F533" s="107"/>
      <c r="G533" s="86"/>
      <c r="I533" s="179"/>
      <c r="K533" s="179"/>
      <c r="L533" s="179"/>
      <c r="M533" s="179"/>
    </row>
    <row r="534" spans="1:13" ht="12">
      <c r="A534" s="107">
        <f aca="true" t="shared" si="18" ref="A534:A556">(A533+1)</f>
        <v>2</v>
      </c>
      <c r="C534" s="5" t="s">
        <v>283</v>
      </c>
      <c r="E534" s="107">
        <f aca="true" t="shared" si="19" ref="E534:E556">(E533+1)</f>
        <v>2</v>
      </c>
      <c r="F534" s="107"/>
      <c r="G534" s="86"/>
      <c r="H534" s="179">
        <v>13394942</v>
      </c>
      <c r="I534" s="179"/>
      <c r="J534" s="179">
        <f>7087348+6833898+1465434</f>
        <v>15386680</v>
      </c>
      <c r="K534" s="179"/>
      <c r="L534" s="179"/>
      <c r="M534" s="179">
        <f>6314614+6161115+2937668</f>
        <v>15413397</v>
      </c>
    </row>
    <row r="535" spans="1:13" ht="12">
      <c r="A535" s="107">
        <f t="shared" si="18"/>
        <v>3</v>
      </c>
      <c r="C535" s="4" t="s">
        <v>509</v>
      </c>
      <c r="E535" s="107">
        <f t="shared" si="19"/>
        <v>3</v>
      </c>
      <c r="F535" s="107"/>
      <c r="G535" s="86"/>
      <c r="H535" s="179"/>
      <c r="I535" s="179"/>
      <c r="J535" s="179">
        <v>0</v>
      </c>
      <c r="K535" s="179"/>
      <c r="L535" s="179"/>
      <c r="M535" s="179"/>
    </row>
    <row r="536" spans="1:13" ht="12">
      <c r="A536" s="107">
        <f t="shared" si="18"/>
        <v>4</v>
      </c>
      <c r="C536" s="4" t="s">
        <v>510</v>
      </c>
      <c r="E536" s="107">
        <f t="shared" si="19"/>
        <v>4</v>
      </c>
      <c r="F536" s="107"/>
      <c r="G536" s="86"/>
      <c r="H536" s="179"/>
      <c r="I536" s="179"/>
      <c r="J536" s="179"/>
      <c r="K536" s="179"/>
      <c r="L536" s="179"/>
      <c r="M536" s="179">
        <v>0</v>
      </c>
    </row>
    <row r="537" spans="1:13" ht="12">
      <c r="A537" s="107">
        <f t="shared" si="18"/>
        <v>5</v>
      </c>
      <c r="E537" s="107">
        <f t="shared" si="19"/>
        <v>5</v>
      </c>
      <c r="F537" s="107"/>
      <c r="G537" s="86"/>
      <c r="H537" s="179"/>
      <c r="I537" s="179"/>
      <c r="J537" s="179"/>
      <c r="K537" s="179"/>
      <c r="L537" s="179"/>
      <c r="M537" s="179"/>
    </row>
    <row r="538" spans="1:13" ht="12">
      <c r="A538" s="107">
        <f t="shared" si="18"/>
        <v>6</v>
      </c>
      <c r="C538" s="27"/>
      <c r="E538" s="107">
        <f t="shared" si="19"/>
        <v>6</v>
      </c>
      <c r="F538" s="107"/>
      <c r="G538" s="86"/>
      <c r="H538" s="179"/>
      <c r="I538" s="179"/>
      <c r="J538" s="179"/>
      <c r="K538" s="179"/>
      <c r="L538" s="179"/>
      <c r="M538" s="179"/>
    </row>
    <row r="539" spans="1:13" ht="12">
      <c r="A539" s="107">
        <f t="shared" si="18"/>
        <v>7</v>
      </c>
      <c r="C539" s="4" t="s">
        <v>91</v>
      </c>
      <c r="E539" s="107">
        <f t="shared" si="19"/>
        <v>7</v>
      </c>
      <c r="F539" s="107"/>
      <c r="G539" s="86"/>
      <c r="H539" s="179"/>
      <c r="I539" s="179"/>
      <c r="J539" s="179"/>
      <c r="K539" s="179"/>
      <c r="L539" s="179"/>
      <c r="M539" s="179"/>
    </row>
    <row r="540" spans="1:13" ht="12">
      <c r="A540" s="107">
        <f t="shared" si="18"/>
        <v>8</v>
      </c>
      <c r="C540" s="193"/>
      <c r="E540" s="107">
        <f t="shared" si="19"/>
        <v>8</v>
      </c>
      <c r="F540" s="107"/>
      <c r="G540" s="86"/>
      <c r="H540" s="179"/>
      <c r="I540" s="179"/>
      <c r="J540" s="179"/>
      <c r="K540" s="179"/>
      <c r="L540" s="179"/>
      <c r="M540" s="179"/>
    </row>
    <row r="541" spans="1:12" ht="12">
      <c r="A541" s="107">
        <f t="shared" si="18"/>
        <v>9</v>
      </c>
      <c r="E541" s="107">
        <f t="shared" si="19"/>
        <v>9</v>
      </c>
      <c r="F541" s="107"/>
      <c r="G541" s="86"/>
      <c r="H541" s="179"/>
      <c r="I541" s="179"/>
      <c r="K541" s="179"/>
      <c r="L541" s="179"/>
    </row>
    <row r="542" spans="1:13" ht="12">
      <c r="A542" s="107">
        <f t="shared" si="18"/>
        <v>10</v>
      </c>
      <c r="E542" s="107">
        <f t="shared" si="19"/>
        <v>10</v>
      </c>
      <c r="F542" s="107"/>
      <c r="G542" s="86"/>
      <c r="H542" s="179"/>
      <c r="I542" s="179"/>
      <c r="J542" s="179"/>
      <c r="K542" s="179"/>
      <c r="L542" s="179"/>
      <c r="M542" s="179"/>
    </row>
    <row r="543" spans="1:13" ht="12">
      <c r="A543" s="107">
        <f t="shared" si="18"/>
        <v>11</v>
      </c>
      <c r="E543" s="107">
        <f t="shared" si="19"/>
        <v>11</v>
      </c>
      <c r="F543" s="107"/>
      <c r="G543" s="86"/>
      <c r="H543" s="179"/>
      <c r="I543" s="179"/>
      <c r="J543" s="179"/>
      <c r="K543" s="179"/>
      <c r="L543" s="179"/>
      <c r="M543" s="179"/>
    </row>
    <row r="544" spans="1:13" ht="12">
      <c r="A544" s="107">
        <f t="shared" si="18"/>
        <v>12</v>
      </c>
      <c r="E544" s="107">
        <f t="shared" si="19"/>
        <v>12</v>
      </c>
      <c r="F544" s="107"/>
      <c r="G544" s="86"/>
      <c r="H544" s="179"/>
      <c r="I544" s="179"/>
      <c r="J544" s="179"/>
      <c r="K544" s="179"/>
      <c r="L544" s="179"/>
      <c r="M544" s="179"/>
    </row>
    <row r="545" spans="1:13" ht="12">
      <c r="A545" s="107">
        <f t="shared" si="18"/>
        <v>13</v>
      </c>
      <c r="C545" s="27"/>
      <c r="E545" s="107">
        <f t="shared" si="19"/>
        <v>13</v>
      </c>
      <c r="F545" s="107"/>
      <c r="G545" s="86"/>
      <c r="H545" s="179"/>
      <c r="I545" s="179"/>
      <c r="J545" s="179"/>
      <c r="K545" s="179"/>
      <c r="L545" s="179"/>
      <c r="M545" s="179"/>
    </row>
    <row r="546" spans="1:13" ht="12">
      <c r="A546" s="107">
        <f t="shared" si="18"/>
        <v>14</v>
      </c>
      <c r="C546" s="27" t="s">
        <v>512</v>
      </c>
      <c r="E546" s="107">
        <f t="shared" si="19"/>
        <v>14</v>
      </c>
      <c r="F546" s="107"/>
      <c r="G546" s="86"/>
      <c r="H546" s="179"/>
      <c r="I546" s="179"/>
      <c r="J546" s="179"/>
      <c r="K546" s="179"/>
      <c r="L546" s="179"/>
      <c r="M546" s="179"/>
    </row>
    <row r="547" spans="1:13" ht="12">
      <c r="A547" s="107">
        <f t="shared" si="18"/>
        <v>15</v>
      </c>
      <c r="C547" s="27"/>
      <c r="E547" s="107">
        <f t="shared" si="19"/>
        <v>15</v>
      </c>
      <c r="F547" s="107"/>
      <c r="G547" s="86"/>
      <c r="H547" s="179"/>
      <c r="I547" s="179"/>
      <c r="J547" s="179"/>
      <c r="K547" s="179"/>
      <c r="L547" s="179"/>
      <c r="M547" s="179"/>
    </row>
    <row r="548" spans="1:13" ht="12">
      <c r="A548" s="107">
        <f t="shared" si="18"/>
        <v>16</v>
      </c>
      <c r="C548" s="27"/>
      <c r="E548" s="107">
        <f t="shared" si="19"/>
        <v>16</v>
      </c>
      <c r="F548" s="107"/>
      <c r="G548" s="86"/>
      <c r="H548" s="179"/>
      <c r="I548" s="179"/>
      <c r="J548" s="179"/>
      <c r="K548" s="179"/>
      <c r="L548" s="179"/>
      <c r="M548" s="179"/>
    </row>
    <row r="549" spans="1:13" ht="12">
      <c r="A549" s="107">
        <f t="shared" si="18"/>
        <v>17</v>
      </c>
      <c r="C549" s="27"/>
      <c r="E549" s="107">
        <f t="shared" si="19"/>
        <v>17</v>
      </c>
      <c r="F549" s="107"/>
      <c r="G549" s="86"/>
      <c r="H549" s="179"/>
      <c r="I549" s="179"/>
      <c r="J549" s="179"/>
      <c r="K549" s="179"/>
      <c r="L549" s="179"/>
      <c r="M549" s="179"/>
    </row>
    <row r="550" spans="1:13" ht="12">
      <c r="A550" s="107">
        <f t="shared" si="18"/>
        <v>18</v>
      </c>
      <c r="C550" s="27"/>
      <c r="E550" s="107">
        <f t="shared" si="19"/>
        <v>18</v>
      </c>
      <c r="F550" s="107"/>
      <c r="G550" s="86"/>
      <c r="H550" s="179"/>
      <c r="I550" s="179"/>
      <c r="J550" s="179"/>
      <c r="K550" s="179"/>
      <c r="L550" s="179"/>
      <c r="M550" s="179"/>
    </row>
    <row r="551" spans="1:13" ht="12">
      <c r="A551" s="107">
        <f t="shared" si="18"/>
        <v>19</v>
      </c>
      <c r="C551" s="27"/>
      <c r="E551" s="107">
        <f t="shared" si="19"/>
        <v>19</v>
      </c>
      <c r="F551" s="107"/>
      <c r="G551" s="86"/>
      <c r="H551" s="179"/>
      <c r="I551" s="179"/>
      <c r="J551" s="179"/>
      <c r="K551" s="179"/>
      <c r="L551" s="179"/>
      <c r="M551" s="179"/>
    </row>
    <row r="552" spans="1:13" ht="12">
      <c r="A552" s="107">
        <f t="shared" si="18"/>
        <v>20</v>
      </c>
      <c r="C552" s="27"/>
      <c r="E552" s="107">
        <f t="shared" si="19"/>
        <v>20</v>
      </c>
      <c r="F552" s="107"/>
      <c r="G552" s="86"/>
      <c r="H552" s="179"/>
      <c r="I552" s="179"/>
      <c r="J552" s="179"/>
      <c r="K552" s="179"/>
      <c r="L552" s="179"/>
      <c r="M552" s="179"/>
    </row>
    <row r="553" spans="1:13" ht="12">
      <c r="A553" s="107">
        <f t="shared" si="18"/>
        <v>21</v>
      </c>
      <c r="C553" s="27"/>
      <c r="E553" s="107">
        <f t="shared" si="19"/>
        <v>21</v>
      </c>
      <c r="F553" s="107"/>
      <c r="G553" s="86"/>
      <c r="H553" s="179"/>
      <c r="I553" s="179"/>
      <c r="J553" s="179"/>
      <c r="K553" s="179"/>
      <c r="L553" s="179"/>
      <c r="M553" s="179"/>
    </row>
    <row r="554" spans="1:13" ht="12">
      <c r="A554" s="107">
        <f t="shared" si="18"/>
        <v>22</v>
      </c>
      <c r="C554" s="27"/>
      <c r="E554" s="107">
        <f t="shared" si="19"/>
        <v>22</v>
      </c>
      <c r="F554" s="107"/>
      <c r="G554" s="86"/>
      <c r="H554" s="179"/>
      <c r="I554" s="179"/>
      <c r="J554" s="179"/>
      <c r="K554" s="179"/>
      <c r="L554" s="179"/>
      <c r="M554" s="179"/>
    </row>
    <row r="555" spans="1:13" ht="12">
      <c r="A555" s="107">
        <f t="shared" si="18"/>
        <v>23</v>
      </c>
      <c r="C555" s="27"/>
      <c r="E555" s="107">
        <f t="shared" si="19"/>
        <v>23</v>
      </c>
      <c r="F555" s="107"/>
      <c r="G555" s="86"/>
      <c r="H555" s="179"/>
      <c r="I555" s="179"/>
      <c r="J555" s="179"/>
      <c r="K555" s="179"/>
      <c r="L555" s="179"/>
      <c r="M555" s="179"/>
    </row>
    <row r="556" spans="1:13" ht="12">
      <c r="A556" s="107">
        <f t="shared" si="18"/>
        <v>24</v>
      </c>
      <c r="C556" s="27"/>
      <c r="E556" s="107">
        <f t="shared" si="19"/>
        <v>24</v>
      </c>
      <c r="F556" s="107"/>
      <c r="G556" s="86"/>
      <c r="H556" s="179"/>
      <c r="I556" s="179"/>
      <c r="J556" s="179"/>
      <c r="K556" s="179"/>
      <c r="L556" s="179"/>
      <c r="M556" s="179"/>
    </row>
    <row r="557" spans="1:13" ht="12">
      <c r="A557" s="108"/>
      <c r="E557" s="108"/>
      <c r="F557" s="108"/>
      <c r="G557" s="176" t="s">
        <v>1</v>
      </c>
      <c r="H557" s="176" t="s">
        <v>1</v>
      </c>
      <c r="I557" s="176" t="s">
        <v>1</v>
      </c>
      <c r="J557" s="176" t="s">
        <v>1</v>
      </c>
      <c r="K557" s="176" t="s">
        <v>1</v>
      </c>
      <c r="L557" s="176" t="s">
        <v>1</v>
      </c>
      <c r="M557" s="176" t="s">
        <v>1</v>
      </c>
    </row>
    <row r="558" spans="1:13" ht="12">
      <c r="A558" s="107">
        <f>(A556+1)</f>
        <v>25</v>
      </c>
      <c r="C558" s="4" t="s">
        <v>197</v>
      </c>
      <c r="E558" s="107">
        <f>(E556+1)</f>
        <v>25</v>
      </c>
      <c r="F558" s="107"/>
      <c r="G558" s="86"/>
      <c r="H558" s="86">
        <f>SUM(H534:H556)</f>
        <v>13394942</v>
      </c>
      <c r="I558" s="86"/>
      <c r="J558" s="86">
        <f>SUM(J534:J556)</f>
        <v>15386680</v>
      </c>
      <c r="L558" s="86"/>
      <c r="M558" s="86">
        <f>SUM(M533:M556)</f>
        <v>15413397</v>
      </c>
    </row>
    <row r="559" spans="1:13" ht="12">
      <c r="A559" s="107"/>
      <c r="C559" s="4"/>
      <c r="E559" s="107"/>
      <c r="F559" s="107"/>
      <c r="G559" s="176" t="s">
        <v>1</v>
      </c>
      <c r="H559" s="176" t="s">
        <v>1</v>
      </c>
      <c r="I559" s="176" t="s">
        <v>1</v>
      </c>
      <c r="J559" s="176" t="s">
        <v>1</v>
      </c>
      <c r="K559" s="176" t="s">
        <v>1</v>
      </c>
      <c r="L559" s="176" t="s">
        <v>1</v>
      </c>
      <c r="M559" s="176" t="s">
        <v>1</v>
      </c>
    </row>
    <row r="560" spans="5:6" ht="12">
      <c r="E560" s="38"/>
      <c r="F560" s="38"/>
    </row>
    <row r="561" spans="5:13" ht="12">
      <c r="E561" s="38"/>
      <c r="F561" s="38"/>
      <c r="G561" s="86"/>
      <c r="H561" s="86"/>
      <c r="I561" s="86"/>
      <c r="J561" s="86"/>
      <c r="L561" s="86"/>
      <c r="M561" s="86"/>
    </row>
    <row r="562" spans="5:13" ht="12">
      <c r="E562" s="38"/>
      <c r="F562" s="38"/>
      <c r="G562" s="86"/>
      <c r="H562" s="86"/>
      <c r="I562" s="86"/>
      <c r="J562" s="86"/>
      <c r="L562" s="86"/>
      <c r="M562" s="86"/>
    </row>
    <row r="563" spans="1:13" ht="12">
      <c r="A563" s="70" t="str">
        <f>$A$82</f>
        <v>Institution No.:  GFD</v>
      </c>
      <c r="B563" s="21"/>
      <c r="C563" s="21"/>
      <c r="D563" s="21"/>
      <c r="E563" s="20"/>
      <c r="F563" s="20"/>
      <c r="G563" s="21"/>
      <c r="H563" s="21"/>
      <c r="I563" s="22"/>
      <c r="J563" s="87"/>
      <c r="K563" s="21"/>
      <c r="L563" s="22"/>
      <c r="M563" s="69" t="s">
        <v>198</v>
      </c>
    </row>
    <row r="564" spans="1:13" ht="12">
      <c r="A564" s="423" t="s">
        <v>292</v>
      </c>
      <c r="B564" s="423"/>
      <c r="C564" s="423"/>
      <c r="D564" s="423"/>
      <c r="E564" s="423"/>
      <c r="F564" s="423"/>
      <c r="G564" s="423"/>
      <c r="H564" s="423"/>
      <c r="I564" s="423"/>
      <c r="J564" s="423"/>
      <c r="K564" s="423"/>
      <c r="L564" s="423"/>
      <c r="M564" s="423"/>
    </row>
    <row r="565" spans="1:13" ht="12">
      <c r="A565" s="70" t="str">
        <f>$A$84</f>
        <v>NAME: University of Colorado - Denver</v>
      </c>
      <c r="G565" s="5"/>
      <c r="H565" s="5"/>
      <c r="I565" s="48"/>
      <c r="J565" s="86"/>
      <c r="K565" s="5"/>
      <c r="L565" s="6"/>
      <c r="M565" s="242" t="str">
        <f>$M$3</f>
        <v>Date: 10/1/2007</v>
      </c>
    </row>
    <row r="566" spans="1:13" ht="12">
      <c r="A566" s="15" t="s">
        <v>1</v>
      </c>
      <c r="B566" s="15" t="s">
        <v>1</v>
      </c>
      <c r="C566" s="15" t="s">
        <v>1</v>
      </c>
      <c r="D566" s="15" t="s">
        <v>1</v>
      </c>
      <c r="E566" s="15" t="s">
        <v>1</v>
      </c>
      <c r="F566" s="15"/>
      <c r="G566" s="15" t="s">
        <v>1</v>
      </c>
      <c r="H566" s="15"/>
      <c r="I566" s="16" t="s">
        <v>1</v>
      </c>
      <c r="J566" s="176" t="s">
        <v>1</v>
      </c>
      <c r="K566" s="15" t="s">
        <v>1</v>
      </c>
      <c r="L566" s="16" t="s">
        <v>1</v>
      </c>
      <c r="M566" s="19" t="s">
        <v>1</v>
      </c>
    </row>
    <row r="567" spans="1:13" ht="12">
      <c r="A567" s="73" t="s">
        <v>2</v>
      </c>
      <c r="E567" s="73" t="s">
        <v>2</v>
      </c>
      <c r="F567" s="73"/>
      <c r="G567" s="1"/>
      <c r="H567" s="123" t="str">
        <f>$H$86</f>
        <v>2005-06</v>
      </c>
      <c r="I567" s="2"/>
      <c r="J567" s="123" t="str">
        <f>$J$86</f>
        <v>2006-07</v>
      </c>
      <c r="K567" s="1"/>
      <c r="L567" s="2"/>
      <c r="M567" s="3" t="str">
        <f>$M$86</f>
        <v>2007-08</v>
      </c>
    </row>
    <row r="568" spans="1:13" ht="12">
      <c r="A568" s="73" t="s">
        <v>4</v>
      </c>
      <c r="C568" s="74" t="s">
        <v>20</v>
      </c>
      <c r="E568" s="73" t="s">
        <v>4</v>
      </c>
      <c r="F568" s="73"/>
      <c r="G568" s="1"/>
      <c r="H568" s="123" t="s">
        <v>7</v>
      </c>
      <c r="I568" s="2"/>
      <c r="J568" s="123" t="s">
        <v>7</v>
      </c>
      <c r="K568" s="1"/>
      <c r="L568" s="2"/>
      <c r="M568" s="3" t="s">
        <v>8</v>
      </c>
    </row>
    <row r="569" spans="1:13" ht="12">
      <c r="A569" s="15" t="s">
        <v>1</v>
      </c>
      <c r="B569" s="15" t="s">
        <v>1</v>
      </c>
      <c r="C569" s="15" t="s">
        <v>1</v>
      </c>
      <c r="D569" s="15" t="s">
        <v>1</v>
      </c>
      <c r="E569" s="15" t="s">
        <v>1</v>
      </c>
      <c r="F569" s="15"/>
      <c r="G569" s="15" t="s">
        <v>1</v>
      </c>
      <c r="H569" s="15"/>
      <c r="I569" s="16" t="s">
        <v>1</v>
      </c>
      <c r="J569" s="176" t="s">
        <v>1</v>
      </c>
      <c r="K569" s="15" t="s">
        <v>1</v>
      </c>
      <c r="L569" s="16" t="s">
        <v>1</v>
      </c>
      <c r="M569" s="19" t="s">
        <v>1</v>
      </c>
    </row>
    <row r="570" spans="1:16" ht="12">
      <c r="A570" s="5">
        <v>1</v>
      </c>
      <c r="C570" s="5" t="s">
        <v>222</v>
      </c>
      <c r="E570" s="5">
        <v>1</v>
      </c>
      <c r="G570" s="5"/>
      <c r="H570" s="17">
        <f>11469410</f>
        <v>11469410</v>
      </c>
      <c r="I570" s="48"/>
      <c r="J570" s="192">
        <v>11893085</v>
      </c>
      <c r="K570" s="5"/>
      <c r="L570" s="48"/>
      <c r="M570" s="192">
        <v>15870784</v>
      </c>
      <c r="P570" s="209"/>
    </row>
    <row r="571" spans="7:13" ht="12">
      <c r="G571" s="5"/>
      <c r="H571" s="5"/>
      <c r="I571" s="48"/>
      <c r="K571" s="5"/>
      <c r="L571" s="48"/>
      <c r="M571" s="17"/>
    </row>
    <row r="572" spans="7:13" ht="12">
      <c r="G572" s="5"/>
      <c r="H572" s="5"/>
      <c r="I572" s="48"/>
      <c r="K572" s="5"/>
      <c r="L572" s="48"/>
      <c r="M572" s="17"/>
    </row>
    <row r="573" spans="7:13" ht="12">
      <c r="G573" s="5"/>
      <c r="H573" s="5"/>
      <c r="I573" s="48"/>
      <c r="K573" s="5"/>
      <c r="L573" s="48"/>
      <c r="M573" s="17"/>
    </row>
    <row r="574" spans="7:13" ht="12">
      <c r="G574" s="5"/>
      <c r="H574" s="5"/>
      <c r="I574" s="48"/>
      <c r="K574" s="5"/>
      <c r="L574" s="48"/>
      <c r="M574" s="17"/>
    </row>
    <row r="575" spans="7:13" ht="12">
      <c r="G575" s="5"/>
      <c r="H575" s="5"/>
      <c r="I575" s="48"/>
      <c r="K575" s="5"/>
      <c r="L575" s="48"/>
      <c r="M575" s="17"/>
    </row>
    <row r="576" spans="7:13" ht="12">
      <c r="G576" s="5"/>
      <c r="H576" s="5"/>
      <c r="I576" s="48"/>
      <c r="K576" s="5"/>
      <c r="L576" s="48"/>
      <c r="M576" s="17"/>
    </row>
    <row r="577" spans="7:13" ht="12">
      <c r="G577" s="5"/>
      <c r="H577" s="5"/>
      <c r="I577" s="48"/>
      <c r="K577" s="5"/>
      <c r="L577" s="48"/>
      <c r="M577" s="17"/>
    </row>
    <row r="578" spans="7:13" ht="12">
      <c r="G578" s="5"/>
      <c r="H578" s="5"/>
      <c r="I578" s="48"/>
      <c r="K578" s="5"/>
      <c r="L578" s="48"/>
      <c r="M578" s="17"/>
    </row>
    <row r="579" spans="7:13" ht="12">
      <c r="G579" s="5"/>
      <c r="H579" s="5"/>
      <c r="I579" s="48"/>
      <c r="K579" s="5"/>
      <c r="L579" s="48"/>
      <c r="M579" s="17"/>
    </row>
    <row r="580" spans="7:13" ht="12">
      <c r="G580" s="5"/>
      <c r="H580" s="5"/>
      <c r="I580" s="48"/>
      <c r="K580" s="5"/>
      <c r="L580" s="48"/>
      <c r="M580" s="17"/>
    </row>
    <row r="581" spans="7:13" ht="12">
      <c r="G581" s="5"/>
      <c r="H581" s="5"/>
      <c r="I581" s="48"/>
      <c r="K581" s="5"/>
      <c r="L581" s="48"/>
      <c r="M581" s="17"/>
    </row>
    <row r="582" spans="7:13" ht="12">
      <c r="G582" s="5"/>
      <c r="H582" s="5"/>
      <c r="I582" s="48"/>
      <c r="K582" s="5"/>
      <c r="L582" s="48"/>
      <c r="M582" s="17"/>
    </row>
    <row r="583" spans="7:13" ht="12">
      <c r="G583" s="5"/>
      <c r="H583" s="5"/>
      <c r="I583" s="48"/>
      <c r="K583" s="5"/>
      <c r="L583" s="48"/>
      <c r="M583" s="17"/>
    </row>
    <row r="584" spans="7:13" ht="12">
      <c r="G584" s="5"/>
      <c r="H584" s="5"/>
      <c r="I584" s="48"/>
      <c r="K584" s="5"/>
      <c r="L584" s="48"/>
      <c r="M584" s="17"/>
    </row>
    <row r="585" spans="7:13" ht="12">
      <c r="G585" s="5"/>
      <c r="H585" s="5"/>
      <c r="I585" s="48"/>
      <c r="K585" s="5"/>
      <c r="L585" s="48"/>
      <c r="M585" s="17"/>
    </row>
    <row r="586" spans="7:13" ht="12">
      <c r="G586" s="5"/>
      <c r="H586" s="5"/>
      <c r="I586" s="48"/>
      <c r="K586" s="5"/>
      <c r="L586" s="48"/>
      <c r="M586" s="17"/>
    </row>
    <row r="587" spans="7:13" ht="12">
      <c r="G587" s="5"/>
      <c r="H587" s="5"/>
      <c r="I587" s="48"/>
      <c r="K587" s="5"/>
      <c r="L587" s="48"/>
      <c r="M587" s="17"/>
    </row>
    <row r="588" spans="7:13" ht="12">
      <c r="G588" s="5"/>
      <c r="H588" s="5"/>
      <c r="I588" s="48"/>
      <c r="K588" s="5"/>
      <c r="L588" s="48"/>
      <c r="M588" s="17"/>
    </row>
    <row r="589" spans="7:13" ht="12">
      <c r="G589" s="5"/>
      <c r="H589" s="5"/>
      <c r="I589" s="48"/>
      <c r="K589" s="5"/>
      <c r="L589" s="48"/>
      <c r="M589" s="17"/>
    </row>
    <row r="590" spans="7:13" ht="12">
      <c r="G590" s="5"/>
      <c r="H590" s="5"/>
      <c r="I590" s="48"/>
      <c r="K590" s="5"/>
      <c r="L590" s="48"/>
      <c r="M590" s="17"/>
    </row>
    <row r="591" spans="7:13" ht="12">
      <c r="G591" s="5"/>
      <c r="H591" s="5"/>
      <c r="I591" s="48"/>
      <c r="K591" s="5"/>
      <c r="L591" s="48"/>
      <c r="M591" s="17"/>
    </row>
    <row r="592" spans="7:13" ht="12">
      <c r="G592" s="5"/>
      <c r="H592" s="5"/>
      <c r="I592" s="48"/>
      <c r="K592" s="5"/>
      <c r="L592" s="48"/>
      <c r="M592" s="17"/>
    </row>
    <row r="593" spans="7:13" ht="12">
      <c r="G593" s="5"/>
      <c r="H593" s="5"/>
      <c r="I593" s="48"/>
      <c r="K593" s="5"/>
      <c r="L593" s="48"/>
      <c r="M593" s="17"/>
    </row>
    <row r="594" spans="7:13" ht="12">
      <c r="G594" s="5"/>
      <c r="H594" s="5"/>
      <c r="I594" s="48"/>
      <c r="K594" s="5"/>
      <c r="L594" s="48"/>
      <c r="M594" s="17"/>
    </row>
    <row r="595" spans="5:13" ht="12">
      <c r="E595" s="38"/>
      <c r="F595" s="38"/>
      <c r="G595" s="86"/>
      <c r="H595" s="86"/>
      <c r="I595" s="86"/>
      <c r="J595" s="86"/>
      <c r="L595" s="86"/>
      <c r="M595" s="86"/>
    </row>
    <row r="596" spans="5:13" ht="12">
      <c r="E596" s="38"/>
      <c r="F596" s="38"/>
      <c r="G596" s="86"/>
      <c r="H596" s="86"/>
      <c r="I596" s="86"/>
      <c r="J596" s="86"/>
      <c r="L596" s="86"/>
      <c r="M596" s="86"/>
    </row>
    <row r="597" spans="5:13" ht="12">
      <c r="E597" s="38"/>
      <c r="F597" s="38"/>
      <c r="G597" s="86"/>
      <c r="H597" s="86"/>
      <c r="I597" s="86"/>
      <c r="J597" s="86"/>
      <c r="L597" s="86"/>
      <c r="M597" s="86"/>
    </row>
    <row r="598" spans="5:13" ht="12">
      <c r="E598" s="38"/>
      <c r="F598" s="38"/>
      <c r="G598" s="86"/>
      <c r="H598" s="86"/>
      <c r="I598" s="86"/>
      <c r="J598" s="86"/>
      <c r="L598" s="86"/>
      <c r="M598" s="86"/>
    </row>
    <row r="599" spans="5:13" ht="12">
      <c r="E599" s="38"/>
      <c r="F599" s="38"/>
      <c r="G599" s="86"/>
      <c r="H599" s="86"/>
      <c r="I599" s="86"/>
      <c r="J599" s="86"/>
      <c r="L599" s="86"/>
      <c r="M599" s="86"/>
    </row>
    <row r="600" spans="5:13" ht="12">
      <c r="E600" s="38"/>
      <c r="F600" s="38"/>
      <c r="G600" s="86"/>
      <c r="H600" s="86"/>
      <c r="I600" s="86"/>
      <c r="J600" s="86"/>
      <c r="L600" s="86"/>
      <c r="M600" s="86"/>
    </row>
    <row r="601" spans="5:13" ht="12">
      <c r="E601" s="38"/>
      <c r="F601" s="38"/>
      <c r="G601" s="86"/>
      <c r="H601" s="86"/>
      <c r="I601" s="86"/>
      <c r="J601" s="86"/>
      <c r="L601" s="86"/>
      <c r="M601" s="86"/>
    </row>
    <row r="602" spans="1:16" s="21" customFormat="1" ht="12">
      <c r="A602" s="70" t="str">
        <f>$A$82</f>
        <v>Institution No.:  GFD</v>
      </c>
      <c r="E602" s="20"/>
      <c r="F602" s="20"/>
      <c r="G602" s="87"/>
      <c r="H602" s="87"/>
      <c r="I602" s="87"/>
      <c r="J602" s="87"/>
      <c r="K602" s="208"/>
      <c r="L602" s="87"/>
      <c r="M602" s="212" t="s">
        <v>22</v>
      </c>
      <c r="O602" s="375"/>
      <c r="P602" s="376"/>
    </row>
    <row r="603" spans="1:16" s="21" customFormat="1" ht="12">
      <c r="A603" s="434" t="s">
        <v>159</v>
      </c>
      <c r="B603" s="434"/>
      <c r="C603" s="434"/>
      <c r="D603" s="434"/>
      <c r="E603" s="434"/>
      <c r="F603" s="434"/>
      <c r="G603" s="434"/>
      <c r="H603" s="434"/>
      <c r="I603" s="434"/>
      <c r="J603" s="434"/>
      <c r="K603" s="434"/>
      <c r="L603" s="434"/>
      <c r="M603" s="434"/>
      <c r="O603" s="375"/>
      <c r="P603" s="376"/>
    </row>
    <row r="604" spans="1:13" ht="12">
      <c r="A604" s="70" t="str">
        <f>$A$84</f>
        <v>NAME: University of Colorado - Denver</v>
      </c>
      <c r="G604" s="86"/>
      <c r="H604" s="86"/>
      <c r="I604" s="217"/>
      <c r="J604" s="86"/>
      <c r="L604" s="86"/>
      <c r="M604" s="213" t="str">
        <f>$M$3</f>
        <v>Date: 10/1/2007</v>
      </c>
    </row>
    <row r="605" spans="1:13" ht="12">
      <c r="A605" s="15" t="s">
        <v>1</v>
      </c>
      <c r="B605" s="15" t="s">
        <v>1</v>
      </c>
      <c r="C605" s="15" t="s">
        <v>1</v>
      </c>
      <c r="D605" s="15" t="s">
        <v>1</v>
      </c>
      <c r="E605" s="15" t="s">
        <v>1</v>
      </c>
      <c r="F605" s="15"/>
      <c r="G605" s="176" t="s">
        <v>1</v>
      </c>
      <c r="H605" s="176" t="s">
        <v>1</v>
      </c>
      <c r="I605" s="176" t="s">
        <v>1</v>
      </c>
      <c r="J605" s="176" t="s">
        <v>1</v>
      </c>
      <c r="K605" s="176" t="s">
        <v>1</v>
      </c>
      <c r="L605" s="176" t="s">
        <v>1</v>
      </c>
      <c r="M605" s="176" t="s">
        <v>1</v>
      </c>
    </row>
    <row r="606" spans="1:13" ht="12">
      <c r="A606" s="73" t="s">
        <v>2</v>
      </c>
      <c r="E606" s="73" t="s">
        <v>2</v>
      </c>
      <c r="F606" s="73"/>
      <c r="G606" s="123"/>
      <c r="H606" s="123" t="str">
        <f>$H$86</f>
        <v>2005-06</v>
      </c>
      <c r="I606" s="86"/>
      <c r="J606" s="123" t="str">
        <f>$J$86</f>
        <v>2006-07</v>
      </c>
      <c r="L606" s="86"/>
      <c r="M606" s="123" t="str">
        <f>$M$86</f>
        <v>2007-08</v>
      </c>
    </row>
    <row r="607" spans="1:13" ht="12">
      <c r="A607" s="73" t="s">
        <v>4</v>
      </c>
      <c r="C607" s="74" t="s">
        <v>20</v>
      </c>
      <c r="E607" s="73" t="s">
        <v>4</v>
      </c>
      <c r="F607" s="73"/>
      <c r="G607" s="123" t="s">
        <v>6</v>
      </c>
      <c r="H607" s="123" t="s">
        <v>7</v>
      </c>
      <c r="I607" s="123" t="s">
        <v>6</v>
      </c>
      <c r="J607" s="123" t="s">
        <v>7</v>
      </c>
      <c r="K607" s="191"/>
      <c r="L607" s="123" t="s">
        <v>6</v>
      </c>
      <c r="M607" s="123" t="s">
        <v>8</v>
      </c>
    </row>
    <row r="608" spans="1:13" ht="12">
      <c r="A608" s="15" t="s">
        <v>1</v>
      </c>
      <c r="B608" s="15" t="s">
        <v>1</v>
      </c>
      <c r="C608" s="15" t="s">
        <v>1</v>
      </c>
      <c r="D608" s="15" t="s">
        <v>1</v>
      </c>
      <c r="E608" s="15" t="s">
        <v>1</v>
      </c>
      <c r="F608" s="15"/>
      <c r="G608" s="176" t="s">
        <v>1</v>
      </c>
      <c r="H608" s="176" t="s">
        <v>1</v>
      </c>
      <c r="I608" s="176" t="s">
        <v>1</v>
      </c>
      <c r="J608" s="176" t="s">
        <v>1</v>
      </c>
      <c r="K608" s="176" t="s">
        <v>1</v>
      </c>
      <c r="L608" s="176" t="s">
        <v>1</v>
      </c>
      <c r="M608" s="176" t="s">
        <v>1</v>
      </c>
    </row>
    <row r="609" spans="1:16" ht="12">
      <c r="A609" s="41">
        <v>1</v>
      </c>
      <c r="C609" s="4" t="s">
        <v>515</v>
      </c>
      <c r="E609" s="41">
        <v>1</v>
      </c>
      <c r="F609" s="41"/>
      <c r="G609" s="185">
        <v>479.2</v>
      </c>
      <c r="H609" s="214">
        <f>30353898+1416545+1754609</f>
        <v>33525052</v>
      </c>
      <c r="I609" s="185">
        <f>J609/72396</f>
        <v>478.5332062544892</v>
      </c>
      <c r="J609" s="179">
        <f>32587829+2056061</f>
        <v>34643890</v>
      </c>
      <c r="K609" s="179"/>
      <c r="L609" s="185">
        <v>510.43</v>
      </c>
      <c r="M609" s="179">
        <f>36422480+2255216+56735+66387</f>
        <v>38800818</v>
      </c>
      <c r="P609" s="209"/>
    </row>
    <row r="610" spans="1:16" ht="12">
      <c r="A610" s="41">
        <v>2</v>
      </c>
      <c r="C610" s="4" t="s">
        <v>516</v>
      </c>
      <c r="E610" s="41">
        <v>2</v>
      </c>
      <c r="F610" s="41"/>
      <c r="G610" s="185"/>
      <c r="H610" s="192">
        <f>6960011+293097+9567-74887-74819+74887</f>
        <v>7187856</v>
      </c>
      <c r="I610" s="185"/>
      <c r="J610" s="179">
        <f>7649062+496577+409816+62116</f>
        <v>8617571</v>
      </c>
      <c r="K610" s="179"/>
      <c r="L610" s="185"/>
      <c r="M610" s="179">
        <f>8547925+514566+6598+21545</f>
        <v>9090634</v>
      </c>
      <c r="P610" s="209"/>
    </row>
    <row r="611" spans="1:16" ht="12">
      <c r="A611" s="41">
        <v>3</v>
      </c>
      <c r="C611" s="4" t="s">
        <v>517</v>
      </c>
      <c r="E611" s="41">
        <v>3</v>
      </c>
      <c r="F611" s="41"/>
      <c r="G611" s="185">
        <v>152.2</v>
      </c>
      <c r="H611" s="179">
        <f>4378823+356125</f>
        <v>4734948</v>
      </c>
      <c r="I611" s="185">
        <f>J611/32201</f>
        <v>208.3465730877923</v>
      </c>
      <c r="J611" s="179">
        <f>4512219+1801632+378030+17087</f>
        <v>6708968</v>
      </c>
      <c r="K611" s="179"/>
      <c r="L611" s="185">
        <v>158.08</v>
      </c>
      <c r="M611" s="179">
        <f>4627703+355723+348755+12620</f>
        <v>5344801</v>
      </c>
      <c r="P611" s="209"/>
    </row>
    <row r="612" spans="1:13" ht="12">
      <c r="A612" s="41">
        <v>4</v>
      </c>
      <c r="C612" s="4" t="s">
        <v>590</v>
      </c>
      <c r="E612" s="41">
        <v>4</v>
      </c>
      <c r="F612" s="41"/>
      <c r="G612" s="71">
        <f>SUM(G609,G611)</f>
        <v>631.4</v>
      </c>
      <c r="H612" s="86">
        <f>SUM(H609:H611)</f>
        <v>45447856</v>
      </c>
      <c r="I612" s="71">
        <f>SUM(I609,I611)</f>
        <v>686.8797793422815</v>
      </c>
      <c r="J612" s="86">
        <f>SUM(J609:J611)</f>
        <v>49970429</v>
      </c>
      <c r="L612" s="71">
        <f>SUM(L609:L611)</f>
        <v>668.51</v>
      </c>
      <c r="M612" s="86">
        <f>SUM(M609:M611)</f>
        <v>53236253</v>
      </c>
    </row>
    <row r="613" spans="1:5" ht="12">
      <c r="A613" s="41">
        <f aca="true" t="shared" si="20" ref="A613:A631">A612+1</f>
        <v>5</v>
      </c>
      <c r="E613" s="5">
        <f>A613</f>
        <v>5</v>
      </c>
    </row>
    <row r="614" spans="1:13" ht="12">
      <c r="A614" s="41">
        <f t="shared" si="20"/>
        <v>6</v>
      </c>
      <c r="C614" s="4" t="s">
        <v>24</v>
      </c>
      <c r="E614" s="5">
        <f aca="true" t="shared" si="21" ref="E614:E631">A614</f>
        <v>6</v>
      </c>
      <c r="G614" s="185"/>
      <c r="H614" s="179"/>
      <c r="I614" s="185"/>
      <c r="J614" s="179"/>
      <c r="K614" s="179"/>
      <c r="L614" s="185"/>
      <c r="M614" s="215"/>
    </row>
    <row r="615" spans="1:16" ht="12">
      <c r="A615" s="41">
        <f t="shared" si="20"/>
        <v>7</v>
      </c>
      <c r="C615" s="4" t="s">
        <v>25</v>
      </c>
      <c r="E615" s="5">
        <f t="shared" si="21"/>
        <v>7</v>
      </c>
      <c r="G615" s="185">
        <v>51.8</v>
      </c>
      <c r="H615" s="192">
        <v>2174971</v>
      </c>
      <c r="I615" s="185">
        <f>J615/43051</f>
        <v>54.25184083993403</v>
      </c>
      <c r="J615" s="181">
        <v>2335596</v>
      </c>
      <c r="K615" s="179"/>
      <c r="L615" s="185">
        <f>54.08+0.38+3.59</f>
        <v>58.05</v>
      </c>
      <c r="M615" s="216">
        <f>2421008+156776</f>
        <v>2577784</v>
      </c>
      <c r="P615" s="209"/>
    </row>
    <row r="616" spans="1:16" ht="12">
      <c r="A616" s="41">
        <f t="shared" si="20"/>
        <v>8</v>
      </c>
      <c r="C616" s="4" t="s">
        <v>26</v>
      </c>
      <c r="E616" s="5">
        <f t="shared" si="21"/>
        <v>8</v>
      </c>
      <c r="G616" s="185"/>
      <c r="H616" s="179">
        <f>477673-51653</f>
        <v>426020</v>
      </c>
      <c r="I616" s="185"/>
      <c r="J616" s="181">
        <f>315284+203483+17902</f>
        <v>536669</v>
      </c>
      <c r="K616" s="179"/>
      <c r="L616" s="185"/>
      <c r="M616" s="216">
        <f>579265+39927</f>
        <v>619192</v>
      </c>
      <c r="P616" s="209"/>
    </row>
    <row r="617" spans="1:13" ht="12">
      <c r="A617" s="41">
        <f t="shared" si="20"/>
        <v>9</v>
      </c>
      <c r="C617" s="4" t="s">
        <v>27</v>
      </c>
      <c r="E617" s="5">
        <f t="shared" si="21"/>
        <v>9</v>
      </c>
      <c r="G617" s="71">
        <f>SUM(G614,G615)</f>
        <v>51.8</v>
      </c>
      <c r="H617" s="86">
        <f>SUM(H614:H616)</f>
        <v>2600991</v>
      </c>
      <c r="I617" s="71">
        <f>SUM(I614,I615)</f>
        <v>54.25184083993403</v>
      </c>
      <c r="J617" s="86">
        <f>SUM(J614:J616)</f>
        <v>2872265</v>
      </c>
      <c r="K617" s="86"/>
      <c r="L617" s="71">
        <f>SUM(L614,L615)</f>
        <v>58.05</v>
      </c>
      <c r="M617" s="86">
        <f>SUM(M614:M616)</f>
        <v>3196976</v>
      </c>
    </row>
    <row r="618" spans="1:13" ht="12">
      <c r="A618" s="41">
        <f t="shared" si="20"/>
        <v>10</v>
      </c>
      <c r="E618" s="5">
        <f t="shared" si="21"/>
        <v>10</v>
      </c>
      <c r="G618" s="71"/>
      <c r="H618" s="86"/>
      <c r="I618" s="71"/>
      <c r="J618" s="86"/>
      <c r="L618" s="71"/>
      <c r="M618" s="86"/>
    </row>
    <row r="619" spans="1:13" ht="12">
      <c r="A619" s="41">
        <f t="shared" si="20"/>
        <v>11</v>
      </c>
      <c r="C619" s="4" t="s">
        <v>28</v>
      </c>
      <c r="E619" s="5">
        <f t="shared" si="21"/>
        <v>11</v>
      </c>
      <c r="G619" s="71">
        <f>SUM(G612,G617)</f>
        <v>683.1999999999999</v>
      </c>
      <c r="H619" s="86">
        <f>+H617+H612</f>
        <v>48048847</v>
      </c>
      <c r="I619" s="71">
        <f>SUM(I612,I617)</f>
        <v>741.1316201822156</v>
      </c>
      <c r="J619" s="86">
        <f>+J617+J612</f>
        <v>52842694</v>
      </c>
      <c r="L619" s="71">
        <f>SUM(L612,L617)</f>
        <v>726.56</v>
      </c>
      <c r="M619" s="86">
        <f>+M617+M612</f>
        <v>56433229</v>
      </c>
    </row>
    <row r="620" spans="1:13" ht="12">
      <c r="A620" s="41">
        <f t="shared" si="20"/>
        <v>12</v>
      </c>
      <c r="E620" s="5">
        <f t="shared" si="21"/>
        <v>12</v>
      </c>
      <c r="H620" s="86"/>
      <c r="J620" s="86"/>
      <c r="M620" s="86"/>
    </row>
    <row r="621" spans="1:16" ht="12">
      <c r="A621" s="41">
        <f t="shared" si="20"/>
        <v>13</v>
      </c>
      <c r="C621" s="4" t="s">
        <v>29</v>
      </c>
      <c r="E621" s="5">
        <f t="shared" si="21"/>
        <v>13</v>
      </c>
      <c r="G621" s="179"/>
      <c r="H621" s="179">
        <f>579785+3252</f>
        <v>583037</v>
      </c>
      <c r="I621" s="179"/>
      <c r="J621" s="179">
        <f>709418+4208</f>
        <v>713626</v>
      </c>
      <c r="K621" s="179"/>
      <c r="L621" s="179"/>
      <c r="M621" s="179">
        <f>593114+2734</f>
        <v>595848</v>
      </c>
      <c r="P621" s="209"/>
    </row>
    <row r="622" spans="1:13" ht="12">
      <c r="A622" s="41">
        <f t="shared" si="20"/>
        <v>14</v>
      </c>
      <c r="E622" s="5">
        <f t="shared" si="21"/>
        <v>14</v>
      </c>
      <c r="G622" s="179"/>
      <c r="H622" s="179"/>
      <c r="I622" s="179"/>
      <c r="J622" s="179"/>
      <c r="K622" s="179"/>
      <c r="L622" s="179"/>
      <c r="M622" s="179"/>
    </row>
    <row r="623" spans="1:16" ht="12">
      <c r="A623" s="41">
        <f t="shared" si="20"/>
        <v>15</v>
      </c>
      <c r="C623" s="4" t="s">
        <v>30</v>
      </c>
      <c r="E623" s="5">
        <f t="shared" si="21"/>
        <v>15</v>
      </c>
      <c r="G623" s="179"/>
      <c r="H623" s="179">
        <v>342489</v>
      </c>
      <c r="I623" s="179"/>
      <c r="J623" s="179">
        <v>544201</v>
      </c>
      <c r="K623" s="179"/>
      <c r="L623" s="179"/>
      <c r="M623" s="179">
        <v>220722</v>
      </c>
      <c r="P623" s="209"/>
    </row>
    <row r="624" spans="1:12" ht="12">
      <c r="A624" s="41">
        <f t="shared" si="20"/>
        <v>16</v>
      </c>
      <c r="C624" s="4" t="s">
        <v>243</v>
      </c>
      <c r="E624" s="5">
        <f t="shared" si="21"/>
        <v>16</v>
      </c>
      <c r="G624" s="179"/>
      <c r="I624" s="179"/>
      <c r="K624" s="179"/>
      <c r="L624" s="179"/>
    </row>
    <row r="625" spans="1:16" ht="12">
      <c r="A625" s="41">
        <f t="shared" si="20"/>
        <v>17</v>
      </c>
      <c r="C625" s="119" t="s">
        <v>591</v>
      </c>
      <c r="E625" s="5">
        <f t="shared" si="21"/>
        <v>17</v>
      </c>
      <c r="G625" s="179"/>
      <c r="H625" s="179">
        <f>4359085-4353088-57832-2</f>
        <v>-51837</v>
      </c>
      <c r="I625" s="179"/>
      <c r="J625" s="179">
        <f>50762+4880328-4665569-21841-1</f>
        <v>243679</v>
      </c>
      <c r="K625" s="179"/>
      <c r="L625" s="179"/>
      <c r="M625" s="179">
        <f>6130595-4440364+56395-73029-448643-676920</f>
        <v>548034</v>
      </c>
      <c r="P625" s="209"/>
    </row>
    <row r="626" spans="1:16" ht="12">
      <c r="A626" s="41">
        <f t="shared" si="20"/>
        <v>18</v>
      </c>
      <c r="C626" s="119"/>
      <c r="E626" s="5">
        <f t="shared" si="21"/>
        <v>18</v>
      </c>
      <c r="G626" s="179"/>
      <c r="H626" s="179"/>
      <c r="I626" s="179"/>
      <c r="J626" s="179"/>
      <c r="K626" s="179"/>
      <c r="L626" s="179"/>
      <c r="M626" s="179"/>
      <c r="P626" s="209"/>
    </row>
    <row r="627" spans="1:16" ht="12">
      <c r="A627" s="41">
        <f t="shared" si="20"/>
        <v>19</v>
      </c>
      <c r="C627" s="5" t="s">
        <v>592</v>
      </c>
      <c r="E627" s="5">
        <f t="shared" si="21"/>
        <v>19</v>
      </c>
      <c r="G627" s="176"/>
      <c r="H627" s="179">
        <f>233482-233482</f>
        <v>0</v>
      </c>
      <c r="I627" s="176"/>
      <c r="J627" s="179">
        <v>0</v>
      </c>
      <c r="K627" s="176"/>
      <c r="L627" s="176"/>
      <c r="M627" s="179"/>
      <c r="N627" s="192"/>
      <c r="P627" s="209"/>
    </row>
    <row r="628" spans="1:13" ht="12">
      <c r="A628" s="41">
        <f t="shared" si="20"/>
        <v>20</v>
      </c>
      <c r="E628" s="5">
        <f t="shared" si="21"/>
        <v>20</v>
      </c>
      <c r="G628" s="176"/>
      <c r="H628" s="176"/>
      <c r="I628" s="176"/>
      <c r="J628" s="176"/>
      <c r="K628" s="176"/>
      <c r="L628" s="176"/>
      <c r="M628" s="176"/>
    </row>
    <row r="629" spans="1:13" ht="12">
      <c r="A629" s="41">
        <f t="shared" si="20"/>
        <v>21</v>
      </c>
      <c r="E629" s="5">
        <f t="shared" si="21"/>
        <v>21</v>
      </c>
      <c r="G629" s="86"/>
      <c r="H629" s="86"/>
      <c r="I629" s="86"/>
      <c r="J629" s="86"/>
      <c r="L629" s="86"/>
      <c r="M629" s="86"/>
    </row>
    <row r="630" spans="1:13" ht="12">
      <c r="A630" s="41">
        <f t="shared" si="20"/>
        <v>22</v>
      </c>
      <c r="D630" s="47"/>
      <c r="E630" s="5">
        <f t="shared" si="21"/>
        <v>22</v>
      </c>
      <c r="H630" s="86"/>
      <c r="J630" s="86"/>
      <c r="M630" s="86"/>
    </row>
    <row r="631" spans="1:13" ht="12">
      <c r="A631" s="41">
        <f t="shared" si="20"/>
        <v>23</v>
      </c>
      <c r="D631" s="47"/>
      <c r="E631" s="5">
        <f t="shared" si="21"/>
        <v>23</v>
      </c>
      <c r="H631" s="86"/>
      <c r="J631" s="86"/>
      <c r="M631" s="86"/>
    </row>
    <row r="632" spans="7:13" ht="12">
      <c r="G632" s="176" t="s">
        <v>1</v>
      </c>
      <c r="H632" s="176" t="s">
        <v>1</v>
      </c>
      <c r="I632" s="176" t="s">
        <v>1</v>
      </c>
      <c r="J632" s="176" t="s">
        <v>1</v>
      </c>
      <c r="K632" s="176" t="s">
        <v>1</v>
      </c>
      <c r="L632" s="176" t="s">
        <v>1</v>
      </c>
      <c r="M632" s="176" t="s">
        <v>1</v>
      </c>
    </row>
    <row r="633" spans="1:13" ht="12">
      <c r="A633" s="41">
        <v>25</v>
      </c>
      <c r="C633" s="4" t="s">
        <v>267</v>
      </c>
      <c r="E633" s="41">
        <v>25</v>
      </c>
      <c r="F633" s="41"/>
      <c r="G633" s="71">
        <f>SUM(G619:G629)</f>
        <v>683.1999999999999</v>
      </c>
      <c r="H633" s="86">
        <f>SUM(H619:H629)</f>
        <v>48922536</v>
      </c>
      <c r="I633" s="71">
        <f>SUM(I619:I629)</f>
        <v>741.1316201822156</v>
      </c>
      <c r="J633" s="86">
        <f>SUM(J619:J629)</f>
        <v>54344200</v>
      </c>
      <c r="L633" s="71">
        <f>SUM(L619:L629)</f>
        <v>726.56</v>
      </c>
      <c r="M633" s="86">
        <f>SUM(M619:M629)</f>
        <v>57797833</v>
      </c>
    </row>
    <row r="634" spans="5:13" ht="12">
      <c r="E634" s="38"/>
      <c r="F634" s="38"/>
      <c r="G634" s="176" t="s">
        <v>1</v>
      </c>
      <c r="H634" s="176" t="s">
        <v>1</v>
      </c>
      <c r="I634" s="176" t="s">
        <v>1</v>
      </c>
      <c r="J634" s="176" t="s">
        <v>1</v>
      </c>
      <c r="K634" s="176" t="s">
        <v>1</v>
      </c>
      <c r="L634" s="176" t="s">
        <v>1</v>
      </c>
      <c r="M634" s="176" t="s">
        <v>1</v>
      </c>
    </row>
    <row r="635" spans="5:13" ht="12">
      <c r="E635" s="38"/>
      <c r="F635" s="38"/>
      <c r="G635" s="176"/>
      <c r="H635" s="176"/>
      <c r="I635" s="176"/>
      <c r="J635" s="176"/>
      <c r="K635" s="176"/>
      <c r="L635" s="176"/>
      <c r="M635" s="176"/>
    </row>
    <row r="636" spans="5:13" ht="12">
      <c r="E636" s="38"/>
      <c r="F636" s="38"/>
      <c r="G636" s="176"/>
      <c r="H636" s="176"/>
      <c r="I636" s="176"/>
      <c r="J636" s="176"/>
      <c r="K636" s="176"/>
      <c r="L636" s="176"/>
      <c r="M636" s="176"/>
    </row>
    <row r="637" ht="12">
      <c r="A637" s="4"/>
    </row>
    <row r="640" spans="1:16" s="21" customFormat="1" ht="12">
      <c r="A640" s="70" t="str">
        <f>$A$82</f>
        <v>Institution No.:  GFD</v>
      </c>
      <c r="E640" s="20"/>
      <c r="F640" s="20"/>
      <c r="G640" s="87"/>
      <c r="H640" s="87"/>
      <c r="I640" s="87"/>
      <c r="J640" s="87"/>
      <c r="K640" s="208"/>
      <c r="L640" s="87"/>
      <c r="M640" s="212" t="s">
        <v>33</v>
      </c>
      <c r="O640" s="375"/>
      <c r="P640" s="376"/>
    </row>
    <row r="641" spans="1:16" s="21" customFormat="1" ht="12">
      <c r="A641" s="434" t="s">
        <v>160</v>
      </c>
      <c r="B641" s="434"/>
      <c r="C641" s="434"/>
      <c r="D641" s="434"/>
      <c r="E641" s="434"/>
      <c r="F641" s="434"/>
      <c r="G641" s="434"/>
      <c r="H641" s="434"/>
      <c r="I641" s="434"/>
      <c r="J641" s="434"/>
      <c r="K641" s="434"/>
      <c r="L641" s="434"/>
      <c r="M641" s="434"/>
      <c r="O641" s="375"/>
      <c r="P641" s="376"/>
    </row>
    <row r="642" spans="1:13" ht="12">
      <c r="A642" s="70" t="str">
        <f>$A$84</f>
        <v>NAME: University of Colorado - Denver</v>
      </c>
      <c r="G642" s="86"/>
      <c r="H642" s="217"/>
      <c r="I642" s="218"/>
      <c r="J642" s="219"/>
      <c r="L642" s="86"/>
      <c r="M642" s="213" t="str">
        <f>$M$3</f>
        <v>Date: 10/1/2007</v>
      </c>
    </row>
    <row r="643" spans="1:13" ht="12">
      <c r="A643" s="15" t="s">
        <v>1</v>
      </c>
      <c r="B643" s="15" t="s">
        <v>1</v>
      </c>
      <c r="C643" s="15" t="s">
        <v>1</v>
      </c>
      <c r="D643" s="15" t="s">
        <v>1</v>
      </c>
      <c r="E643" s="15" t="s">
        <v>1</v>
      </c>
      <c r="F643" s="15"/>
      <c r="G643" s="176" t="s">
        <v>1</v>
      </c>
      <c r="H643" s="176" t="s">
        <v>1</v>
      </c>
      <c r="I643" s="176" t="s">
        <v>1</v>
      </c>
      <c r="J643" s="176" t="s">
        <v>1</v>
      </c>
      <c r="K643" s="176" t="s">
        <v>1</v>
      </c>
      <c r="L643" s="176" t="s">
        <v>1</v>
      </c>
      <c r="M643" s="176" t="s">
        <v>1</v>
      </c>
    </row>
    <row r="644" spans="1:13" ht="12">
      <c r="A644" s="73" t="s">
        <v>2</v>
      </c>
      <c r="E644" s="73" t="s">
        <v>2</v>
      </c>
      <c r="F644" s="73"/>
      <c r="G644" s="123"/>
      <c r="H644" s="123" t="str">
        <f>$H$86</f>
        <v>2005-06</v>
      </c>
      <c r="I644" s="86"/>
      <c r="J644" s="123" t="str">
        <f>$J$86</f>
        <v>2006-07</v>
      </c>
      <c r="L644" s="86"/>
      <c r="M644" s="123" t="str">
        <f>$M$86</f>
        <v>2007-08</v>
      </c>
    </row>
    <row r="645" spans="1:13" ht="12">
      <c r="A645" s="73" t="s">
        <v>4</v>
      </c>
      <c r="C645" s="74" t="s">
        <v>20</v>
      </c>
      <c r="E645" s="73" t="s">
        <v>4</v>
      </c>
      <c r="F645" s="73"/>
      <c r="G645" s="123" t="s">
        <v>6</v>
      </c>
      <c r="H645" s="123" t="s">
        <v>7</v>
      </c>
      <c r="I645" s="123" t="s">
        <v>6</v>
      </c>
      <c r="J645" s="123" t="s">
        <v>7</v>
      </c>
      <c r="K645" s="191"/>
      <c r="L645" s="123" t="s">
        <v>6</v>
      </c>
      <c r="M645" s="123" t="s">
        <v>8</v>
      </c>
    </row>
    <row r="646" spans="1:13" ht="12">
      <c r="A646" s="15" t="s">
        <v>1</v>
      </c>
      <c r="B646" s="15" t="s">
        <v>1</v>
      </c>
      <c r="C646" s="15" t="s">
        <v>1</v>
      </c>
      <c r="D646" s="15" t="s">
        <v>1</v>
      </c>
      <c r="E646" s="15" t="s">
        <v>1</v>
      </c>
      <c r="F646" s="15"/>
      <c r="G646" s="176" t="s">
        <v>1</v>
      </c>
      <c r="H646" s="176" t="s">
        <v>1</v>
      </c>
      <c r="I646" s="176" t="s">
        <v>1</v>
      </c>
      <c r="J646" s="176" t="s">
        <v>1</v>
      </c>
      <c r="K646" s="176" t="s">
        <v>1</v>
      </c>
      <c r="L646" s="176" t="s">
        <v>1</v>
      </c>
      <c r="M646" s="176" t="s">
        <v>1</v>
      </c>
    </row>
    <row r="647" spans="1:16" ht="12">
      <c r="A647" s="41">
        <v>1</v>
      </c>
      <c r="C647" s="4" t="s">
        <v>515</v>
      </c>
      <c r="E647" s="41">
        <v>1</v>
      </c>
      <c r="F647" s="41"/>
      <c r="G647" s="185">
        <v>9.29</v>
      </c>
      <c r="H647" s="179">
        <f>257331+12208+238626</f>
        <v>508165</v>
      </c>
      <c r="I647" s="185">
        <f>J647/57706</f>
        <v>0.13523723702907844</v>
      </c>
      <c r="J647" s="192">
        <v>7804</v>
      </c>
      <c r="K647" s="179"/>
      <c r="L647" s="185">
        <v>0</v>
      </c>
      <c r="M647" s="215">
        <v>0</v>
      </c>
      <c r="P647" s="209"/>
    </row>
    <row r="648" spans="1:16" ht="12">
      <c r="A648" s="41">
        <v>2</v>
      </c>
      <c r="C648" s="4" t="s">
        <v>516</v>
      </c>
      <c r="E648" s="41">
        <v>2</v>
      </c>
      <c r="F648" s="41"/>
      <c r="G648" s="185"/>
      <c r="H648" s="179">
        <f>62623+778+40915-3761</f>
        <v>100555</v>
      </c>
      <c r="I648" s="185"/>
      <c r="J648" s="192">
        <f>-197466+171304+27963</f>
        <v>1801</v>
      </c>
      <c r="K648" s="179"/>
      <c r="L648" s="185"/>
      <c r="M648" s="215">
        <v>0</v>
      </c>
      <c r="P648" s="209"/>
    </row>
    <row r="649" spans="1:16" ht="12">
      <c r="A649" s="41">
        <v>3</v>
      </c>
      <c r="C649" s="4" t="s">
        <v>34</v>
      </c>
      <c r="E649" s="41">
        <v>3</v>
      </c>
      <c r="F649" s="41"/>
      <c r="G649" s="185"/>
      <c r="H649" s="179">
        <f>64126+418</f>
        <v>64544</v>
      </c>
      <c r="I649" s="185"/>
      <c r="J649" s="192">
        <v>299</v>
      </c>
      <c r="K649" s="179"/>
      <c r="L649" s="185"/>
      <c r="M649" s="215">
        <v>0</v>
      </c>
      <c r="P649" s="209"/>
    </row>
    <row r="650" spans="1:13" ht="12">
      <c r="A650" s="41">
        <v>4</v>
      </c>
      <c r="C650" s="4" t="s">
        <v>23</v>
      </c>
      <c r="E650" s="41">
        <v>4</v>
      </c>
      <c r="F650" s="41"/>
      <c r="G650" s="71">
        <f>SUM(G647,G649)</f>
        <v>9.29</v>
      </c>
      <c r="H650" s="86">
        <f>SUM(H647:H649)</f>
        <v>673264</v>
      </c>
      <c r="I650" s="71">
        <f>SUM(I647,I649)</f>
        <v>0.13523723702907844</v>
      </c>
      <c r="J650" s="86">
        <f>SUM(J647:J649)</f>
        <v>9904</v>
      </c>
      <c r="L650" s="71">
        <f>SUM(L647,L649)</f>
        <v>0</v>
      </c>
      <c r="M650" s="86">
        <f>SUM(M647:M649)</f>
        <v>0</v>
      </c>
    </row>
    <row r="651" spans="1:13" ht="12">
      <c r="A651" s="41">
        <v>5</v>
      </c>
      <c r="E651" s="41">
        <v>5</v>
      </c>
      <c r="F651" s="41"/>
      <c r="G651" s="71"/>
      <c r="H651" s="86"/>
      <c r="I651" s="71"/>
      <c r="J651" s="86"/>
      <c r="L651" s="71"/>
      <c r="M651" s="86"/>
    </row>
    <row r="652" spans="1:13" ht="12">
      <c r="A652" s="41">
        <v>6</v>
      </c>
      <c r="C652" s="4" t="s">
        <v>24</v>
      </c>
      <c r="E652" s="41">
        <v>6</v>
      </c>
      <c r="F652" s="41"/>
      <c r="G652" s="185"/>
      <c r="I652" s="185"/>
      <c r="K652" s="179"/>
      <c r="L652" s="185"/>
      <c r="M652" s="179"/>
    </row>
    <row r="653" spans="1:16" ht="12">
      <c r="A653" s="41">
        <v>7</v>
      </c>
      <c r="C653" s="4" t="s">
        <v>25</v>
      </c>
      <c r="E653" s="41">
        <v>7</v>
      </c>
      <c r="F653" s="41"/>
      <c r="G653" s="185">
        <v>1.4</v>
      </c>
      <c r="H653" s="179">
        <f>42106</f>
        <v>42106</v>
      </c>
      <c r="I653" s="185"/>
      <c r="J653" s="179"/>
      <c r="K653" s="179"/>
      <c r="L653" s="185">
        <v>0</v>
      </c>
      <c r="M653" s="179">
        <v>0</v>
      </c>
      <c r="P653" s="209"/>
    </row>
    <row r="654" spans="1:16" ht="12">
      <c r="A654" s="41">
        <v>8</v>
      </c>
      <c r="C654" s="4" t="s">
        <v>26</v>
      </c>
      <c r="E654" s="41">
        <v>8</v>
      </c>
      <c r="F654" s="41"/>
      <c r="G654" s="185"/>
      <c r="H654" s="179">
        <f>7660--846</f>
        <v>8506</v>
      </c>
      <c r="I654" s="185"/>
      <c r="J654" s="179"/>
      <c r="K654" s="179"/>
      <c r="L654" s="185"/>
      <c r="M654" s="179">
        <v>0</v>
      </c>
      <c r="P654" s="209"/>
    </row>
    <row r="655" spans="1:13" ht="12">
      <c r="A655" s="41">
        <v>9</v>
      </c>
      <c r="C655" s="4" t="s">
        <v>27</v>
      </c>
      <c r="E655" s="41">
        <v>9</v>
      </c>
      <c r="F655" s="41"/>
      <c r="G655" s="71">
        <f>SUM(G652+G653)</f>
        <v>1.4</v>
      </c>
      <c r="H655" s="86">
        <f>SUM(H652:H654)</f>
        <v>50612</v>
      </c>
      <c r="I655" s="71">
        <f>SUM(I652+I653)</f>
        <v>0</v>
      </c>
      <c r="J655" s="86">
        <f>SUM(J652:J654)</f>
        <v>0</v>
      </c>
      <c r="K655" s="86"/>
      <c r="L655" s="71">
        <f>SUM(L652+L653)</f>
        <v>0</v>
      </c>
      <c r="M655" s="86">
        <f>SUM(M652:M654)</f>
        <v>0</v>
      </c>
    </row>
    <row r="656" spans="1:13" ht="12">
      <c r="A656" s="41">
        <v>10</v>
      </c>
      <c r="E656" s="41">
        <v>10</v>
      </c>
      <c r="F656" s="41"/>
      <c r="G656" s="71"/>
      <c r="H656" s="86"/>
      <c r="I656" s="71"/>
      <c r="J656" s="86"/>
      <c r="L656" s="71"/>
      <c r="M656" s="86"/>
    </row>
    <row r="657" spans="1:13" ht="12">
      <c r="A657" s="41">
        <v>11</v>
      </c>
      <c r="C657" s="4" t="s">
        <v>28</v>
      </c>
      <c r="E657" s="41">
        <v>11</v>
      </c>
      <c r="F657" s="41"/>
      <c r="G657" s="71">
        <f>SUM(G650,G655)</f>
        <v>10.69</v>
      </c>
      <c r="H657" s="86">
        <f>SUM(H650,H655)</f>
        <v>723876</v>
      </c>
      <c r="I657" s="71">
        <f>SUM(I650,I655)</f>
        <v>0.13523723702907844</v>
      </c>
      <c r="J657" s="86">
        <f>SUM(J650,J655)</f>
        <v>9904</v>
      </c>
      <c r="L657" s="71">
        <f>SUM(L650,L655)</f>
        <v>0</v>
      </c>
      <c r="M657" s="86">
        <f>SUM(M650,M655)</f>
        <v>0</v>
      </c>
    </row>
    <row r="658" spans="1:13" ht="12">
      <c r="A658" s="41">
        <v>12</v>
      </c>
      <c r="E658" s="41">
        <v>12</v>
      </c>
      <c r="F658" s="41"/>
      <c r="G658" s="71"/>
      <c r="H658" s="86"/>
      <c r="I658" s="71"/>
      <c r="J658" s="86"/>
      <c r="L658" s="71"/>
      <c r="M658" s="86"/>
    </row>
    <row r="659" spans="1:16" ht="12">
      <c r="A659" s="41">
        <v>13</v>
      </c>
      <c r="C659" s="4" t="s">
        <v>29</v>
      </c>
      <c r="E659" s="41">
        <v>13</v>
      </c>
      <c r="F659" s="41"/>
      <c r="G659" s="179"/>
      <c r="H659" s="179">
        <f>37825+292</f>
        <v>38117</v>
      </c>
      <c r="I659" s="179"/>
      <c r="J659" s="179"/>
      <c r="K659" s="179"/>
      <c r="L659" s="179"/>
      <c r="M659" s="179">
        <v>0</v>
      </c>
      <c r="P659" s="209"/>
    </row>
    <row r="660" spans="1:13" ht="12">
      <c r="A660" s="41">
        <v>14</v>
      </c>
      <c r="E660" s="41">
        <v>14</v>
      </c>
      <c r="F660" s="41"/>
      <c r="G660" s="179"/>
      <c r="H660" s="179"/>
      <c r="I660" s="179"/>
      <c r="J660" s="179"/>
      <c r="K660" s="179"/>
      <c r="L660" s="179"/>
      <c r="M660" s="179"/>
    </row>
    <row r="661" spans="1:16" ht="12">
      <c r="A661" s="41">
        <v>15</v>
      </c>
      <c r="C661" s="4" t="s">
        <v>30</v>
      </c>
      <c r="E661" s="41">
        <v>15</v>
      </c>
      <c r="F661" s="41"/>
      <c r="G661" s="179"/>
      <c r="H661" s="179">
        <f>110786</f>
        <v>110786</v>
      </c>
      <c r="I661" s="179"/>
      <c r="J661" s="179">
        <v>6503</v>
      </c>
      <c r="K661" s="179"/>
      <c r="L661" s="179"/>
      <c r="M661" s="179"/>
      <c r="P661" s="209"/>
    </row>
    <row r="662" spans="1:16" ht="12">
      <c r="A662" s="41">
        <v>16</v>
      </c>
      <c r="C662" s="4" t="s">
        <v>31</v>
      </c>
      <c r="E662" s="41">
        <v>16</v>
      </c>
      <c r="F662" s="41"/>
      <c r="G662" s="179"/>
      <c r="H662" s="179">
        <f>305219-23952</f>
        <v>281267</v>
      </c>
      <c r="I662" s="179"/>
      <c r="J662" s="179">
        <f>24990</f>
        <v>24990</v>
      </c>
      <c r="K662" s="179"/>
      <c r="L662" s="179"/>
      <c r="M662" s="179">
        <v>1072</v>
      </c>
      <c r="P662" s="209"/>
    </row>
    <row r="663" spans="1:16" ht="12">
      <c r="A663" s="41">
        <v>17</v>
      </c>
      <c r="C663" s="4" t="s">
        <v>32</v>
      </c>
      <c r="E663" s="41">
        <v>17</v>
      </c>
      <c r="F663" s="41"/>
      <c r="G663" s="179"/>
      <c r="H663" s="179"/>
      <c r="I663" s="179"/>
      <c r="J663" s="179"/>
      <c r="K663" s="179"/>
      <c r="L663" s="179"/>
      <c r="M663" s="179"/>
      <c r="P663" s="209"/>
    </row>
    <row r="664" spans="1:13" ht="12">
      <c r="A664" s="41">
        <v>18</v>
      </c>
      <c r="E664" s="41">
        <v>18</v>
      </c>
      <c r="F664" s="41"/>
      <c r="G664" s="179"/>
      <c r="H664" s="179"/>
      <c r="I664" s="179"/>
      <c r="J664" s="179"/>
      <c r="K664" s="179"/>
      <c r="L664" s="179"/>
      <c r="M664" s="179"/>
    </row>
    <row r="665" spans="1:9" ht="12">
      <c r="A665" s="41">
        <v>19</v>
      </c>
      <c r="C665" s="4"/>
      <c r="E665" s="41">
        <v>19</v>
      </c>
      <c r="F665" s="41"/>
      <c r="G665" s="179"/>
      <c r="I665" s="179"/>
    </row>
    <row r="666" spans="1:13" ht="12">
      <c r="A666" s="41">
        <v>20</v>
      </c>
      <c r="E666" s="41">
        <v>20</v>
      </c>
      <c r="F666" s="41"/>
      <c r="G666" s="176"/>
      <c r="H666" s="176"/>
      <c r="I666" s="176"/>
      <c r="J666" s="176"/>
      <c r="K666" s="176"/>
      <c r="L666" s="176"/>
      <c r="M666" s="176"/>
    </row>
    <row r="667" spans="1:13" ht="12">
      <c r="A667" s="41">
        <v>21</v>
      </c>
      <c r="E667" s="41">
        <v>21</v>
      </c>
      <c r="F667" s="41"/>
      <c r="G667" s="176"/>
      <c r="H667" s="86"/>
      <c r="I667" s="176"/>
      <c r="J667" s="86"/>
      <c r="K667" s="176"/>
      <c r="L667" s="176"/>
      <c r="M667" s="86"/>
    </row>
    <row r="668" spans="1:16" ht="12">
      <c r="A668" s="41">
        <v>22</v>
      </c>
      <c r="E668" s="41">
        <v>22</v>
      </c>
      <c r="F668" s="41"/>
      <c r="G668" s="86"/>
      <c r="H668" s="86"/>
      <c r="I668" s="86"/>
      <c r="J668" s="86"/>
      <c r="L668" s="86"/>
      <c r="M668" s="86"/>
      <c r="N668" s="192"/>
      <c r="P668" s="220"/>
    </row>
    <row r="669" spans="1:13" ht="12">
      <c r="A669" s="41">
        <v>23</v>
      </c>
      <c r="D669" s="47"/>
      <c r="E669" s="41">
        <v>23</v>
      </c>
      <c r="F669" s="41"/>
      <c r="H669" s="86"/>
      <c r="J669" s="86"/>
      <c r="M669" s="86"/>
    </row>
    <row r="670" spans="1:13" ht="12">
      <c r="A670" s="41">
        <v>24</v>
      </c>
      <c r="D670" s="47"/>
      <c r="E670" s="41">
        <v>24</v>
      </c>
      <c r="F670" s="41"/>
      <c r="H670" s="86"/>
      <c r="J670" s="86"/>
      <c r="M670" s="86"/>
    </row>
    <row r="671" spans="7:16" ht="12">
      <c r="G671" s="176" t="s">
        <v>1</v>
      </c>
      <c r="H671" s="176" t="s">
        <v>1</v>
      </c>
      <c r="I671" s="176" t="s">
        <v>1</v>
      </c>
      <c r="J671" s="176" t="s">
        <v>1</v>
      </c>
      <c r="K671" s="176" t="s">
        <v>1</v>
      </c>
      <c r="L671" s="176" t="s">
        <v>1</v>
      </c>
      <c r="M671" s="176" t="s">
        <v>1</v>
      </c>
      <c r="N671" s="192"/>
      <c r="P671" s="220"/>
    </row>
    <row r="672" spans="1:17" ht="12">
      <c r="A672" s="41">
        <v>25</v>
      </c>
      <c r="C672" s="4" t="s">
        <v>268</v>
      </c>
      <c r="E672" s="41">
        <v>25</v>
      </c>
      <c r="F672" s="41"/>
      <c r="G672" s="71">
        <f>SUM(G657:G670)</f>
        <v>10.69</v>
      </c>
      <c r="H672" s="86">
        <f>SUM(H657:H670)</f>
        <v>1154046</v>
      </c>
      <c r="I672" s="71">
        <f>SUM(I657:I670)</f>
        <v>0.13523723702907844</v>
      </c>
      <c r="J672" s="86">
        <f>SUM(J657:J670)</f>
        <v>41397</v>
      </c>
      <c r="L672" s="71">
        <f>SUM(L657:L670)</f>
        <v>0</v>
      </c>
      <c r="M672" s="86">
        <f>SUM(M657:M670)</f>
        <v>1072</v>
      </c>
      <c r="Q672" s="378"/>
    </row>
    <row r="673" spans="5:16" ht="12">
      <c r="E673" s="38"/>
      <c r="F673" s="38"/>
      <c r="G673" s="176" t="s">
        <v>1</v>
      </c>
      <c r="H673" s="176" t="s">
        <v>1</v>
      </c>
      <c r="I673" s="176" t="s">
        <v>1</v>
      </c>
      <c r="J673" s="176" t="s">
        <v>1</v>
      </c>
      <c r="K673" s="176" t="s">
        <v>1</v>
      </c>
      <c r="L673" s="176" t="s">
        <v>1</v>
      </c>
      <c r="M673" s="176" t="s">
        <v>1</v>
      </c>
      <c r="N673" s="192"/>
      <c r="P673" s="220"/>
    </row>
    <row r="674" spans="1:13" ht="12">
      <c r="A674" s="4"/>
      <c r="H674" s="86"/>
      <c r="J674" s="86"/>
      <c r="M674" s="86"/>
    </row>
    <row r="675" spans="8:13" ht="12">
      <c r="H675" s="86"/>
      <c r="J675" s="86"/>
      <c r="M675" s="86"/>
    </row>
    <row r="676" spans="8:13" ht="12">
      <c r="H676" s="86"/>
      <c r="J676" s="86"/>
      <c r="M676" s="86"/>
    </row>
    <row r="677" spans="1:16" s="21" customFormat="1" ht="12">
      <c r="A677" s="70" t="str">
        <f>$A$82</f>
        <v>Institution No.:  GFD</v>
      </c>
      <c r="E677" s="20"/>
      <c r="F677" s="20"/>
      <c r="G677" s="87"/>
      <c r="H677" s="87"/>
      <c r="I677" s="87"/>
      <c r="J677" s="87"/>
      <c r="K677" s="208"/>
      <c r="L677" s="87"/>
      <c r="M677" s="212" t="s">
        <v>35</v>
      </c>
      <c r="O677" s="375"/>
      <c r="P677" s="376"/>
    </row>
    <row r="678" spans="1:16" s="21" customFormat="1" ht="12">
      <c r="A678" s="434" t="s">
        <v>161</v>
      </c>
      <c r="B678" s="434"/>
      <c r="C678" s="434"/>
      <c r="D678" s="434"/>
      <c r="E678" s="434"/>
      <c r="F678" s="434"/>
      <c r="G678" s="434"/>
      <c r="H678" s="434"/>
      <c r="I678" s="434"/>
      <c r="J678" s="434"/>
      <c r="K678" s="434"/>
      <c r="L678" s="434"/>
      <c r="M678" s="434"/>
      <c r="O678" s="375"/>
      <c r="P678" s="376"/>
    </row>
    <row r="679" spans="1:13" ht="12">
      <c r="A679" s="70" t="str">
        <f>$A$84</f>
        <v>NAME: University of Colorado - Denver</v>
      </c>
      <c r="G679" s="86"/>
      <c r="H679" s="86"/>
      <c r="I679" s="217"/>
      <c r="J679" s="219"/>
      <c r="L679" s="86"/>
      <c r="M679" s="213" t="str">
        <f>$M$3</f>
        <v>Date: 10/1/2007</v>
      </c>
    </row>
    <row r="680" spans="1:13" ht="12">
      <c r="A680" s="15" t="s">
        <v>1</v>
      </c>
      <c r="B680" s="15" t="s">
        <v>1</v>
      </c>
      <c r="C680" s="15" t="s">
        <v>1</v>
      </c>
      <c r="D680" s="15" t="s">
        <v>1</v>
      </c>
      <c r="E680" s="15" t="s">
        <v>1</v>
      </c>
      <c r="F680" s="15"/>
      <c r="G680" s="176" t="s">
        <v>1</v>
      </c>
      <c r="H680" s="176" t="s">
        <v>1</v>
      </c>
      <c r="I680" s="176" t="s">
        <v>1</v>
      </c>
      <c r="J680" s="176" t="s">
        <v>1</v>
      </c>
      <c r="K680" s="176" t="s">
        <v>1</v>
      </c>
      <c r="L680" s="176" t="s">
        <v>1</v>
      </c>
      <c r="M680" s="176" t="s">
        <v>1</v>
      </c>
    </row>
    <row r="681" spans="1:13" ht="12">
      <c r="A681" s="73" t="s">
        <v>2</v>
      </c>
      <c r="E681" s="73" t="s">
        <v>2</v>
      </c>
      <c r="F681" s="73"/>
      <c r="G681" s="221"/>
      <c r="H681" s="123" t="str">
        <f>$H$86</f>
        <v>2005-06</v>
      </c>
      <c r="I681" s="86"/>
      <c r="J681" s="123" t="str">
        <f>$J$86</f>
        <v>2006-07</v>
      </c>
      <c r="L681" s="86"/>
      <c r="M681" s="123" t="str">
        <f>$M$86</f>
        <v>2007-08</v>
      </c>
    </row>
    <row r="682" spans="1:13" ht="12">
      <c r="A682" s="73" t="s">
        <v>4</v>
      </c>
      <c r="C682" s="74" t="s">
        <v>20</v>
      </c>
      <c r="E682" s="73" t="s">
        <v>4</v>
      </c>
      <c r="F682" s="73"/>
      <c r="G682" s="123" t="s">
        <v>6</v>
      </c>
      <c r="H682" s="123" t="s">
        <v>7</v>
      </c>
      <c r="I682" s="123" t="s">
        <v>6</v>
      </c>
      <c r="J682" s="123" t="s">
        <v>7</v>
      </c>
      <c r="K682" s="191"/>
      <c r="L682" s="123" t="s">
        <v>6</v>
      </c>
      <c r="M682" s="123" t="s">
        <v>8</v>
      </c>
    </row>
    <row r="683" spans="1:13" ht="12">
      <c r="A683" s="15" t="s">
        <v>1</v>
      </c>
      <c r="B683" s="15" t="s">
        <v>1</v>
      </c>
      <c r="C683" s="15" t="s">
        <v>1</v>
      </c>
      <c r="D683" s="15" t="s">
        <v>1</v>
      </c>
      <c r="E683" s="15" t="s">
        <v>1</v>
      </c>
      <c r="F683" s="15"/>
      <c r="G683" s="176" t="s">
        <v>1</v>
      </c>
      <c r="H683" s="176" t="s">
        <v>1</v>
      </c>
      <c r="I683" s="176" t="s">
        <v>1</v>
      </c>
      <c r="J683" s="176" t="s">
        <v>1</v>
      </c>
      <c r="K683" s="176" t="s">
        <v>1</v>
      </c>
      <c r="L683" s="176" t="s">
        <v>1</v>
      </c>
      <c r="M683" s="176" t="s">
        <v>1</v>
      </c>
    </row>
    <row r="684" spans="1:16" ht="12">
      <c r="A684" s="41">
        <v>1</v>
      </c>
      <c r="C684" s="4" t="s">
        <v>36</v>
      </c>
      <c r="E684" s="41">
        <v>1</v>
      </c>
      <c r="F684" s="41"/>
      <c r="G684" s="185">
        <v>1.52</v>
      </c>
      <c r="H684" s="179">
        <f>70630+8604</f>
        <v>79234</v>
      </c>
      <c r="I684" s="185">
        <f>J684/59655</f>
        <v>2.13392004023133</v>
      </c>
      <c r="J684" s="192">
        <f>60908+66391</f>
        <v>127299</v>
      </c>
      <c r="K684" s="179"/>
      <c r="L684" s="185">
        <f>1.87</f>
        <v>1.87</v>
      </c>
      <c r="M684" s="192">
        <f>25437+68771</f>
        <v>94208</v>
      </c>
      <c r="P684" s="209"/>
    </row>
    <row r="685" spans="1:16" ht="12">
      <c r="A685" s="41">
        <v>2</v>
      </c>
      <c r="C685" s="4" t="s">
        <v>37</v>
      </c>
      <c r="E685" s="41">
        <v>2</v>
      </c>
      <c r="F685" s="41"/>
      <c r="G685" s="185"/>
      <c r="H685" s="179">
        <f>21880+2573-6203</f>
        <v>18250</v>
      </c>
      <c r="I685" s="185"/>
      <c r="J685" s="192">
        <f>-116963+15743+115068+18061</f>
        <v>31909</v>
      </c>
      <c r="K685" s="179"/>
      <c r="L685" s="185"/>
      <c r="M685" s="192">
        <f>16301+15570</f>
        <v>31871</v>
      </c>
      <c r="P685" s="209"/>
    </row>
    <row r="686" spans="1:16" ht="12">
      <c r="A686" s="41">
        <v>3</v>
      </c>
      <c r="E686" s="41">
        <v>3</v>
      </c>
      <c r="F686" s="41"/>
      <c r="G686" s="185"/>
      <c r="H686" s="179"/>
      <c r="I686" s="185"/>
      <c r="J686" s="179"/>
      <c r="K686" s="179"/>
      <c r="L686" s="185"/>
      <c r="M686" s="179"/>
      <c r="P686" s="209"/>
    </row>
    <row r="687" spans="1:13" ht="12">
      <c r="A687" s="41">
        <v>4</v>
      </c>
      <c r="C687" s="4" t="s">
        <v>23</v>
      </c>
      <c r="E687" s="41">
        <v>4</v>
      </c>
      <c r="F687" s="41"/>
      <c r="G687" s="71">
        <f>SUM(G684:G685)</f>
        <v>1.52</v>
      </c>
      <c r="H687" s="86">
        <f>SUM(H684:H685)</f>
        <v>97484</v>
      </c>
      <c r="I687" s="71">
        <f>SUM(I684:I685)</f>
        <v>2.13392004023133</v>
      </c>
      <c r="J687" s="86">
        <f>SUM(J684:J685)</f>
        <v>159208</v>
      </c>
      <c r="L687" s="71">
        <f>SUM(L684:L685)</f>
        <v>1.87</v>
      </c>
      <c r="M687" s="86">
        <f>SUM(M684:M685)</f>
        <v>126079</v>
      </c>
    </row>
    <row r="688" spans="1:13" ht="12">
      <c r="A688" s="41">
        <v>5</v>
      </c>
      <c r="E688" s="41">
        <v>5</v>
      </c>
      <c r="F688" s="41"/>
      <c r="G688" s="71"/>
      <c r="H688" s="86"/>
      <c r="I688" s="71"/>
      <c r="J688" s="86"/>
      <c r="L688" s="71"/>
      <c r="M688" s="86"/>
    </row>
    <row r="689" spans="1:13" ht="12">
      <c r="A689" s="41">
        <v>6</v>
      </c>
      <c r="E689" s="41">
        <v>6</v>
      </c>
      <c r="F689" s="41"/>
      <c r="G689" s="71"/>
      <c r="H689" s="86"/>
      <c r="I689" s="71"/>
      <c r="J689" s="86"/>
      <c r="L689" s="71"/>
      <c r="M689" s="86"/>
    </row>
    <row r="690" spans="1:16" ht="12">
      <c r="A690" s="41">
        <v>7</v>
      </c>
      <c r="C690" s="4" t="s">
        <v>25</v>
      </c>
      <c r="E690" s="41">
        <v>7</v>
      </c>
      <c r="F690" s="41"/>
      <c r="G690" s="185">
        <v>0</v>
      </c>
      <c r="H690" s="179">
        <f>556</f>
        <v>556</v>
      </c>
      <c r="I690" s="185"/>
      <c r="J690" s="179">
        <v>12957</v>
      </c>
      <c r="K690" s="179"/>
      <c r="L690" s="185"/>
      <c r="M690" s="179"/>
      <c r="P690" s="209"/>
    </row>
    <row r="691" spans="1:16" ht="12">
      <c r="A691" s="41">
        <v>8</v>
      </c>
      <c r="C691" s="4" t="s">
        <v>26</v>
      </c>
      <c r="E691" s="41">
        <v>8</v>
      </c>
      <c r="F691" s="41"/>
      <c r="G691" s="185"/>
      <c r="H691" s="179">
        <f>-13368--13439</f>
        <v>71</v>
      </c>
      <c r="I691" s="185"/>
      <c r="J691" s="179">
        <f>-9422+10156+1095</f>
        <v>1829</v>
      </c>
      <c r="K691" s="179"/>
      <c r="L691" s="185"/>
      <c r="P691" s="209"/>
    </row>
    <row r="692" spans="1:13" ht="12">
      <c r="A692" s="41">
        <v>9</v>
      </c>
      <c r="C692" s="4" t="s">
        <v>27</v>
      </c>
      <c r="E692" s="41">
        <v>9</v>
      </c>
      <c r="F692" s="41"/>
      <c r="G692" s="71">
        <f>SUM(G690:G691)</f>
        <v>0</v>
      </c>
      <c r="H692" s="86">
        <f>SUM(H690:H691)</f>
        <v>627</v>
      </c>
      <c r="I692" s="71">
        <f>SUM(I690:I691)</f>
        <v>0</v>
      </c>
      <c r="J692" s="86">
        <f>SUM(J690:J691)</f>
        <v>14786</v>
      </c>
      <c r="K692" s="86"/>
      <c r="L692" s="71">
        <f>SUM(L690:L691)</f>
        <v>0</v>
      </c>
      <c r="M692" s="86">
        <f>SUM(M690:M691)</f>
        <v>0</v>
      </c>
    </row>
    <row r="693" spans="1:13" ht="12">
      <c r="A693" s="41">
        <v>10</v>
      </c>
      <c r="E693" s="41">
        <v>10</v>
      </c>
      <c r="F693" s="41"/>
      <c r="G693" s="71"/>
      <c r="H693" s="86"/>
      <c r="I693" s="71"/>
      <c r="J693" s="86"/>
      <c r="L693" s="71"/>
      <c r="M693" s="86"/>
    </row>
    <row r="694" spans="1:13" ht="12">
      <c r="A694" s="41">
        <v>11</v>
      </c>
      <c r="C694" s="4" t="s">
        <v>28</v>
      </c>
      <c r="E694" s="41">
        <v>11</v>
      </c>
      <c r="F694" s="41"/>
      <c r="G694" s="71">
        <f>SUM(G692,G687)</f>
        <v>1.52</v>
      </c>
      <c r="H694" s="86">
        <f>SUM(H692,H687)</f>
        <v>98111</v>
      </c>
      <c r="I694" s="71">
        <f>SUM(I692,I687)</f>
        <v>2.13392004023133</v>
      </c>
      <c r="J694" s="86">
        <f>SUM(J692,J687)</f>
        <v>173994</v>
      </c>
      <c r="K694" s="86"/>
      <c r="L694" s="71">
        <f>SUM(L692,L687)</f>
        <v>1.87</v>
      </c>
      <c r="M694" s="86">
        <f>SUM(M692,M687)</f>
        <v>126079</v>
      </c>
    </row>
    <row r="695" spans="1:13" ht="12">
      <c r="A695" s="41">
        <v>12</v>
      </c>
      <c r="E695" s="41">
        <v>12</v>
      </c>
      <c r="F695" s="41"/>
      <c r="G695" s="71"/>
      <c r="H695" s="86"/>
      <c r="I695" s="71"/>
      <c r="J695" s="86"/>
      <c r="L695" s="71"/>
      <c r="M695" s="86"/>
    </row>
    <row r="696" spans="1:16" ht="12">
      <c r="A696" s="41">
        <v>13</v>
      </c>
      <c r="C696" s="4" t="s">
        <v>38</v>
      </c>
      <c r="E696" s="41">
        <v>13</v>
      </c>
      <c r="F696" s="41"/>
      <c r="G696" s="185"/>
      <c r="H696" s="179"/>
      <c r="I696" s="185"/>
      <c r="J696" s="179"/>
      <c r="K696" s="179"/>
      <c r="L696" s="185"/>
      <c r="M696" s="179"/>
      <c r="P696" s="209"/>
    </row>
    <row r="697" spans="1:13" ht="12">
      <c r="A697" s="41">
        <v>14</v>
      </c>
      <c r="E697" s="41">
        <v>14</v>
      </c>
      <c r="F697" s="41"/>
      <c r="G697" s="185"/>
      <c r="H697" s="179"/>
      <c r="I697" s="185"/>
      <c r="J697" s="179"/>
      <c r="K697" s="179"/>
      <c r="L697" s="185"/>
      <c r="M697" s="179"/>
    </row>
    <row r="698" spans="1:16" ht="12">
      <c r="A698" s="41">
        <v>15</v>
      </c>
      <c r="C698" s="4" t="s">
        <v>30</v>
      </c>
      <c r="E698" s="41">
        <v>15</v>
      </c>
      <c r="F698" s="41"/>
      <c r="G698" s="185"/>
      <c r="H698" s="179">
        <f>17947</f>
        <v>17947</v>
      </c>
      <c r="I698" s="185"/>
      <c r="J698" s="179">
        <v>16467</v>
      </c>
      <c r="K698" s="179"/>
      <c r="L698" s="185"/>
      <c r="M698" s="179"/>
      <c r="P698" s="209"/>
    </row>
    <row r="699" spans="1:16" ht="12">
      <c r="A699" s="41">
        <v>16</v>
      </c>
      <c r="C699" s="4" t="s">
        <v>31</v>
      </c>
      <c r="E699" s="41">
        <v>16</v>
      </c>
      <c r="F699" s="41"/>
      <c r="G699" s="185"/>
      <c r="H699" s="179">
        <f>55487-945</f>
        <v>54542</v>
      </c>
      <c r="I699" s="185"/>
      <c r="J699" s="179">
        <v>40735</v>
      </c>
      <c r="K699" s="179"/>
      <c r="L699" s="185"/>
      <c r="M699" s="192">
        <v>2880</v>
      </c>
      <c r="P699" s="209"/>
    </row>
    <row r="700" spans="1:16" ht="12">
      <c r="A700" s="41">
        <v>17</v>
      </c>
      <c r="C700" s="4" t="s">
        <v>32</v>
      </c>
      <c r="E700" s="41">
        <v>17</v>
      </c>
      <c r="F700" s="41"/>
      <c r="G700" s="185"/>
      <c r="H700" s="179">
        <v>0</v>
      </c>
      <c r="I700" s="185"/>
      <c r="J700" s="179"/>
      <c r="K700" s="179"/>
      <c r="L700" s="185"/>
      <c r="M700" s="179"/>
      <c r="P700" s="209"/>
    </row>
    <row r="701" spans="1:13" ht="12">
      <c r="A701" s="41">
        <v>18</v>
      </c>
      <c r="E701" s="41">
        <v>18</v>
      </c>
      <c r="F701" s="41"/>
      <c r="G701" s="179"/>
      <c r="H701" s="179"/>
      <c r="I701" s="185"/>
      <c r="J701" s="179"/>
      <c r="K701" s="179"/>
      <c r="L701" s="185"/>
      <c r="M701" s="179"/>
    </row>
    <row r="702" spans="1:12" ht="12">
      <c r="A702" s="41">
        <v>19</v>
      </c>
      <c r="C702" s="4"/>
      <c r="E702" s="41">
        <v>19</v>
      </c>
      <c r="F702" s="41"/>
      <c r="G702" s="179"/>
      <c r="I702" s="185"/>
      <c r="L702" s="207"/>
    </row>
    <row r="703" spans="1:13" ht="12">
      <c r="A703" s="41">
        <v>20</v>
      </c>
      <c r="E703" s="41">
        <v>20</v>
      </c>
      <c r="F703" s="41"/>
      <c r="G703" s="176"/>
      <c r="H703" s="176"/>
      <c r="I703" s="18"/>
      <c r="J703" s="176"/>
      <c r="K703" s="176"/>
      <c r="L703" s="18"/>
      <c r="M703" s="176"/>
    </row>
    <row r="704" spans="1:13" ht="12">
      <c r="A704" s="41">
        <v>21</v>
      </c>
      <c r="E704" s="41">
        <v>21</v>
      </c>
      <c r="F704" s="41"/>
      <c r="G704" s="176"/>
      <c r="H704" s="86"/>
      <c r="I704" s="18"/>
      <c r="J704" s="86"/>
      <c r="K704" s="176"/>
      <c r="L704" s="18"/>
      <c r="M704" s="86"/>
    </row>
    <row r="705" spans="1:13" ht="12">
      <c r="A705" s="41">
        <v>22</v>
      </c>
      <c r="E705" s="41">
        <v>22</v>
      </c>
      <c r="F705" s="41"/>
      <c r="G705" s="86"/>
      <c r="H705" s="86"/>
      <c r="I705" s="71"/>
      <c r="J705" s="86"/>
      <c r="L705" s="71"/>
      <c r="M705" s="86"/>
    </row>
    <row r="706" spans="1:13" ht="12">
      <c r="A706" s="41">
        <v>23</v>
      </c>
      <c r="D706" s="47"/>
      <c r="E706" s="41">
        <v>23</v>
      </c>
      <c r="F706" s="41"/>
      <c r="H706" s="86"/>
      <c r="I706" s="207"/>
      <c r="J706" s="86"/>
      <c r="L706" s="207"/>
      <c r="M706" s="86"/>
    </row>
    <row r="707" spans="1:13" ht="12">
      <c r="A707" s="41">
        <v>24</v>
      </c>
      <c r="D707" s="47"/>
      <c r="E707" s="41">
        <v>24</v>
      </c>
      <c r="F707" s="41"/>
      <c r="H707" s="86"/>
      <c r="I707" s="207"/>
      <c r="J707" s="86"/>
      <c r="L707" s="207"/>
      <c r="M707" s="86"/>
    </row>
    <row r="708" spans="7:13" ht="12">
      <c r="G708" s="176" t="s">
        <v>1</v>
      </c>
      <c r="H708" s="176" t="s">
        <v>1</v>
      </c>
      <c r="I708" s="18" t="s">
        <v>1</v>
      </c>
      <c r="J708" s="176" t="s">
        <v>1</v>
      </c>
      <c r="K708" s="176" t="s">
        <v>1</v>
      </c>
      <c r="L708" s="18" t="s">
        <v>1</v>
      </c>
      <c r="M708" s="176" t="s">
        <v>1</v>
      </c>
    </row>
    <row r="709" spans="1:16" ht="12">
      <c r="A709" s="41">
        <v>25</v>
      </c>
      <c r="C709" s="4" t="s">
        <v>269</v>
      </c>
      <c r="E709" s="41">
        <v>25</v>
      </c>
      <c r="F709" s="41"/>
      <c r="G709" s="71">
        <f>SUM(G694:G705)</f>
        <v>1.52</v>
      </c>
      <c r="H709" s="86">
        <f>SUM(H694:H705)</f>
        <v>170600</v>
      </c>
      <c r="I709" s="71">
        <f>SUM(I694:I705)</f>
        <v>2.13392004023133</v>
      </c>
      <c r="J709" s="86">
        <f>SUM(J694:J705)</f>
        <v>231196</v>
      </c>
      <c r="L709" s="71">
        <f>SUM(L694:L705)</f>
        <v>1.87</v>
      </c>
      <c r="M709" s="86">
        <f>SUM(M694:M705)</f>
        <v>128959</v>
      </c>
      <c r="N709" s="192"/>
      <c r="P709" s="220"/>
    </row>
    <row r="710" spans="5:13" ht="12">
      <c r="E710" s="38"/>
      <c r="F710" s="38"/>
      <c r="G710" s="176" t="s">
        <v>1</v>
      </c>
      <c r="H710" s="176" t="s">
        <v>1</v>
      </c>
      <c r="I710" s="176" t="s">
        <v>1</v>
      </c>
      <c r="J710" s="176" t="s">
        <v>1</v>
      </c>
      <c r="K710" s="176" t="s">
        <v>1</v>
      </c>
      <c r="L710" s="176" t="s">
        <v>1</v>
      </c>
      <c r="M710" s="176" t="s">
        <v>1</v>
      </c>
    </row>
    <row r="711" spans="1:13" ht="12">
      <c r="A711" s="4"/>
      <c r="H711" s="86"/>
      <c r="J711" s="86"/>
      <c r="M711" s="86"/>
    </row>
    <row r="712" spans="8:13" ht="12">
      <c r="H712" s="86"/>
      <c r="J712" s="86"/>
      <c r="M712" s="86"/>
    </row>
    <row r="713" spans="8:13" ht="12">
      <c r="H713" s="86"/>
      <c r="J713" s="86"/>
      <c r="M713" s="86"/>
    </row>
    <row r="714" spans="1:16" s="21" customFormat="1" ht="12">
      <c r="A714" s="70" t="str">
        <f>$A$82</f>
        <v>Institution No.:  GFD</v>
      </c>
      <c r="E714" s="20"/>
      <c r="F714" s="20"/>
      <c r="G714" s="87"/>
      <c r="H714" s="87"/>
      <c r="I714" s="87"/>
      <c r="J714" s="87"/>
      <c r="K714" s="208"/>
      <c r="L714" s="87"/>
      <c r="M714" s="212" t="s">
        <v>39</v>
      </c>
      <c r="O714" s="375"/>
      <c r="P714" s="376"/>
    </row>
    <row r="715" spans="1:16" s="21" customFormat="1" ht="12">
      <c r="A715" s="434" t="s">
        <v>162</v>
      </c>
      <c r="B715" s="434"/>
      <c r="C715" s="434"/>
      <c r="D715" s="434"/>
      <c r="E715" s="434"/>
      <c r="F715" s="434"/>
      <c r="G715" s="434"/>
      <c r="H715" s="434"/>
      <c r="I715" s="434"/>
      <c r="J715" s="434"/>
      <c r="K715" s="434"/>
      <c r="L715" s="434"/>
      <c r="M715" s="434"/>
      <c r="O715" s="375"/>
      <c r="P715" s="376"/>
    </row>
    <row r="716" spans="1:13" ht="12">
      <c r="A716" s="70" t="str">
        <f>$A$84</f>
        <v>NAME: University of Colorado - Denver</v>
      </c>
      <c r="B716" s="70"/>
      <c r="G716" s="86"/>
      <c r="H716" s="86"/>
      <c r="I716" s="217"/>
      <c r="J716" s="219"/>
      <c r="L716" s="86"/>
      <c r="M716" s="213" t="str">
        <f>$M$3</f>
        <v>Date: 10/1/2007</v>
      </c>
    </row>
    <row r="717" spans="1:13" ht="12">
      <c r="A717" s="15" t="s">
        <v>1</v>
      </c>
      <c r="B717" s="15" t="s">
        <v>1</v>
      </c>
      <c r="C717" s="15" t="s">
        <v>1</v>
      </c>
      <c r="D717" s="15" t="s">
        <v>1</v>
      </c>
      <c r="E717" s="15" t="s">
        <v>1</v>
      </c>
      <c r="F717" s="15"/>
      <c r="G717" s="176" t="s">
        <v>1</v>
      </c>
      <c r="H717" s="176" t="s">
        <v>1</v>
      </c>
      <c r="I717" s="176" t="s">
        <v>1</v>
      </c>
      <c r="J717" s="176" t="s">
        <v>1</v>
      </c>
      <c r="K717" s="176" t="s">
        <v>1</v>
      </c>
      <c r="L717" s="176" t="s">
        <v>1</v>
      </c>
      <c r="M717" s="176" t="s">
        <v>1</v>
      </c>
    </row>
    <row r="718" spans="1:13" ht="12">
      <c r="A718" s="73" t="s">
        <v>2</v>
      </c>
      <c r="E718" s="73" t="s">
        <v>2</v>
      </c>
      <c r="F718" s="73"/>
      <c r="G718" s="123"/>
      <c r="H718" s="123" t="str">
        <f>$H$86</f>
        <v>2005-06</v>
      </c>
      <c r="I718" s="86"/>
      <c r="J718" s="123" t="str">
        <f>$J$86</f>
        <v>2006-07</v>
      </c>
      <c r="L718" s="86"/>
      <c r="M718" s="123" t="str">
        <f>$M$86</f>
        <v>2007-08</v>
      </c>
    </row>
    <row r="719" spans="1:13" ht="12">
      <c r="A719" s="73" t="s">
        <v>4</v>
      </c>
      <c r="C719" s="74" t="s">
        <v>20</v>
      </c>
      <c r="E719" s="73" t="s">
        <v>4</v>
      </c>
      <c r="F719" s="73"/>
      <c r="G719" s="123" t="s">
        <v>6</v>
      </c>
      <c r="H719" s="123" t="s">
        <v>7</v>
      </c>
      <c r="I719" s="123" t="s">
        <v>6</v>
      </c>
      <c r="J719" s="123" t="s">
        <v>7</v>
      </c>
      <c r="K719" s="191"/>
      <c r="L719" s="123" t="s">
        <v>6</v>
      </c>
      <c r="M719" s="123" t="s">
        <v>8</v>
      </c>
    </row>
    <row r="720" spans="1:13" ht="12">
      <c r="A720" s="15" t="s">
        <v>1</v>
      </c>
      <c r="B720" s="15" t="s">
        <v>1</v>
      </c>
      <c r="C720" s="15" t="s">
        <v>1</v>
      </c>
      <c r="D720" s="15" t="s">
        <v>1</v>
      </c>
      <c r="E720" s="15" t="s">
        <v>1</v>
      </c>
      <c r="F720" s="15"/>
      <c r="G720" s="176" t="s">
        <v>1</v>
      </c>
      <c r="H720" s="176" t="s">
        <v>1</v>
      </c>
      <c r="I720" s="176" t="s">
        <v>1</v>
      </c>
      <c r="J720" s="176" t="s">
        <v>1</v>
      </c>
      <c r="K720" s="176" t="s">
        <v>1</v>
      </c>
      <c r="L720" s="176" t="s">
        <v>1</v>
      </c>
      <c r="M720" s="176" t="s">
        <v>1</v>
      </c>
    </row>
    <row r="721" spans="1:16" ht="12">
      <c r="A721" s="41">
        <v>1</v>
      </c>
      <c r="C721" s="4" t="s">
        <v>36</v>
      </c>
      <c r="E721" s="41">
        <v>1</v>
      </c>
      <c r="F721" s="41"/>
      <c r="G721" s="185">
        <v>92.7</v>
      </c>
      <c r="H721" s="179">
        <f>4520304+1700822+30991+60400</f>
        <v>6312517</v>
      </c>
      <c r="I721" s="185">
        <f>J721/70504</f>
        <v>104.0305514580733</v>
      </c>
      <c r="J721" s="179">
        <f>1891344+8133+77228+5357865</f>
        <v>7334570</v>
      </c>
      <c r="K721" s="179"/>
      <c r="L721" s="185">
        <f>31.18+0.25+3+71.28+0.4+0.99+0.78</f>
        <v>107.88000000000001</v>
      </c>
      <c r="M721" s="179">
        <f>2894352+23500+5658862+33581+24423</f>
        <v>8634718</v>
      </c>
      <c r="P721" s="209"/>
    </row>
    <row r="722" spans="1:16" ht="12">
      <c r="A722" s="41">
        <v>2</v>
      </c>
      <c r="C722" s="4" t="s">
        <v>37</v>
      </c>
      <c r="E722" s="41">
        <v>2</v>
      </c>
      <c r="F722" s="41"/>
      <c r="G722" s="185"/>
      <c r="H722" s="179">
        <f>963465+522598+2669+561-102188</f>
        <v>1387105</v>
      </c>
      <c r="I722" s="185"/>
      <c r="J722" s="179">
        <f>-368510+784+406+1318802+711693+145298</f>
        <v>1808473</v>
      </c>
      <c r="K722" s="179"/>
      <c r="L722" s="185"/>
      <c r="M722" s="179">
        <f>517827+7014+331+1344904+6601+5281</f>
        <v>1881958</v>
      </c>
      <c r="P722" s="209"/>
    </row>
    <row r="723" spans="1:13" ht="12">
      <c r="A723" s="41">
        <v>3</v>
      </c>
      <c r="E723" s="41">
        <v>3</v>
      </c>
      <c r="F723" s="41"/>
      <c r="G723" s="185"/>
      <c r="H723" s="179"/>
      <c r="I723" s="185"/>
      <c r="J723" s="179"/>
      <c r="K723" s="179"/>
      <c r="L723" s="185"/>
      <c r="M723" s="179"/>
    </row>
    <row r="724" spans="1:13" ht="12">
      <c r="A724" s="41">
        <v>4</v>
      </c>
      <c r="C724" s="4" t="s">
        <v>23</v>
      </c>
      <c r="E724" s="41">
        <v>4</v>
      </c>
      <c r="F724" s="41"/>
      <c r="G724" s="71">
        <f>G721</f>
        <v>92.7</v>
      </c>
      <c r="H724" s="86">
        <f>SUM(H721:H722)</f>
        <v>7699622</v>
      </c>
      <c r="I724" s="71">
        <f>I721</f>
        <v>104.0305514580733</v>
      </c>
      <c r="J724" s="86">
        <f>SUM(J721:J722)</f>
        <v>9143043</v>
      </c>
      <c r="L724" s="71">
        <f>L721</f>
        <v>107.88000000000001</v>
      </c>
      <c r="M724" s="86">
        <f>SUM(M721:M722)</f>
        <v>10516676</v>
      </c>
    </row>
    <row r="725" spans="1:13" ht="12">
      <c r="A725" s="41">
        <v>5</v>
      </c>
      <c r="E725" s="41">
        <v>5</v>
      </c>
      <c r="F725" s="41"/>
      <c r="G725" s="71"/>
      <c r="H725" s="86"/>
      <c r="I725" s="71"/>
      <c r="J725" s="86"/>
      <c r="L725" s="71"/>
      <c r="M725" s="86"/>
    </row>
    <row r="726" spans="1:13" ht="12">
      <c r="A726" s="41">
        <v>6</v>
      </c>
      <c r="E726" s="41">
        <v>6</v>
      </c>
      <c r="F726" s="41"/>
      <c r="G726" s="71"/>
      <c r="H726" s="86"/>
      <c r="I726" s="71"/>
      <c r="J726" s="86"/>
      <c r="L726" s="71"/>
      <c r="M726" s="86"/>
    </row>
    <row r="727" spans="1:16" ht="12">
      <c r="A727" s="41">
        <v>7</v>
      </c>
      <c r="C727" s="4" t="s">
        <v>25</v>
      </c>
      <c r="E727" s="41">
        <v>7</v>
      </c>
      <c r="F727" s="41"/>
      <c r="G727" s="185">
        <v>77.79</v>
      </c>
      <c r="H727" s="179">
        <v>3123843</v>
      </c>
      <c r="I727" s="185">
        <f>J727/41250</f>
        <v>80.21076363636364</v>
      </c>
      <c r="J727" s="179">
        <v>3308694</v>
      </c>
      <c r="K727" s="179"/>
      <c r="L727" s="185">
        <f>72.55+1+1.72</f>
        <v>75.27</v>
      </c>
      <c r="M727" s="179">
        <f>3182478+23976</f>
        <v>3206454</v>
      </c>
      <c r="P727" s="209"/>
    </row>
    <row r="728" spans="1:16" ht="12">
      <c r="A728" s="41">
        <v>8</v>
      </c>
      <c r="C728" s="4" t="s">
        <v>26</v>
      </c>
      <c r="E728" s="41">
        <v>8</v>
      </c>
      <c r="F728" s="41"/>
      <c r="G728" s="185"/>
      <c r="H728" s="179">
        <f>731079-14820</f>
        <v>716259</v>
      </c>
      <c r="I728" s="185"/>
      <c r="J728" s="179">
        <f>365209+351410+54671</f>
        <v>771290</v>
      </c>
      <c r="K728" s="179"/>
      <c r="L728" s="185"/>
      <c r="M728" s="179">
        <f>821910+6195</f>
        <v>828105</v>
      </c>
      <c r="P728" s="209"/>
    </row>
    <row r="729" spans="1:13" ht="12">
      <c r="A729" s="41">
        <v>9</v>
      </c>
      <c r="C729" s="4" t="s">
        <v>27</v>
      </c>
      <c r="E729" s="41">
        <v>9</v>
      </c>
      <c r="F729" s="41"/>
      <c r="G729" s="71">
        <f>G727</f>
        <v>77.79</v>
      </c>
      <c r="H729" s="86">
        <f>SUM(H727:H728)</f>
        <v>3840102</v>
      </c>
      <c r="I729" s="71">
        <f>I727</f>
        <v>80.21076363636364</v>
      </c>
      <c r="J729" s="86">
        <f>SUM(J727:J728)</f>
        <v>4079984</v>
      </c>
      <c r="L729" s="71">
        <f>L727</f>
        <v>75.27</v>
      </c>
      <c r="M729" s="86">
        <f>SUM(M727:M728)</f>
        <v>4034559</v>
      </c>
    </row>
    <row r="730" spans="1:13" ht="12">
      <c r="A730" s="41">
        <v>10</v>
      </c>
      <c r="E730" s="41">
        <v>10</v>
      </c>
      <c r="F730" s="41"/>
      <c r="G730" s="71"/>
      <c r="H730" s="86"/>
      <c r="I730" s="71"/>
      <c r="J730" s="86"/>
      <c r="L730" s="71"/>
      <c r="M730" s="86"/>
    </row>
    <row r="731" spans="1:13" ht="12">
      <c r="A731" s="41">
        <v>11</v>
      </c>
      <c r="C731" s="4" t="s">
        <v>28</v>
      </c>
      <c r="E731" s="41">
        <v>11</v>
      </c>
      <c r="F731" s="41"/>
      <c r="G731" s="71">
        <f>SUM(G729,G724)</f>
        <v>170.49</v>
      </c>
      <c r="H731" s="86">
        <f>SUM(H729,H724)</f>
        <v>11539724</v>
      </c>
      <c r="I731" s="71">
        <f>SUM(I729,I724)</f>
        <v>184.24131509443694</v>
      </c>
      <c r="J731" s="86">
        <f>SUM(J729,J724)</f>
        <v>13223027</v>
      </c>
      <c r="L731" s="71">
        <f>SUM(L729,L724)</f>
        <v>183.15</v>
      </c>
      <c r="M731" s="86">
        <f>SUM(M729,M724)</f>
        <v>14551235</v>
      </c>
    </row>
    <row r="732" spans="1:13" ht="12">
      <c r="A732" s="41">
        <v>12</v>
      </c>
      <c r="E732" s="41">
        <v>12</v>
      </c>
      <c r="F732" s="41"/>
      <c r="G732" s="207"/>
      <c r="H732" s="86"/>
      <c r="I732" s="207"/>
      <c r="J732" s="86"/>
      <c r="L732" s="207"/>
      <c r="M732" s="86"/>
    </row>
    <row r="733" spans="1:16" ht="12">
      <c r="A733" s="41">
        <v>13</v>
      </c>
      <c r="C733" s="4" t="s">
        <v>38</v>
      </c>
      <c r="E733" s="41">
        <v>13</v>
      </c>
      <c r="F733" s="41"/>
      <c r="G733" s="185"/>
      <c r="H733" s="179">
        <f>454095+2109</f>
        <v>456204</v>
      </c>
      <c r="I733" s="185"/>
      <c r="J733" s="179">
        <f>396999+2559</f>
        <v>399558</v>
      </c>
      <c r="K733" s="179"/>
      <c r="L733" s="185"/>
      <c r="M733" s="179">
        <f>331142+1586</f>
        <v>332728</v>
      </c>
      <c r="P733" s="209"/>
    </row>
    <row r="734" spans="1:13" ht="12">
      <c r="A734" s="41">
        <v>14</v>
      </c>
      <c r="E734" s="41">
        <v>14</v>
      </c>
      <c r="F734" s="41"/>
      <c r="G734" s="185"/>
      <c r="H734" s="179"/>
      <c r="I734" s="185"/>
      <c r="J734" s="179"/>
      <c r="K734" s="179"/>
      <c r="L734" s="185"/>
      <c r="M734" s="179"/>
    </row>
    <row r="735" spans="1:16" ht="12">
      <c r="A735" s="41">
        <v>15</v>
      </c>
      <c r="C735" s="4" t="s">
        <v>30</v>
      </c>
      <c r="E735" s="41">
        <v>15</v>
      </c>
      <c r="F735" s="41"/>
      <c r="G735" s="185"/>
      <c r="H735" s="179">
        <v>205427</v>
      </c>
      <c r="I735" s="185"/>
      <c r="J735" s="179">
        <v>256679</v>
      </c>
      <c r="K735" s="179"/>
      <c r="L735" s="185"/>
      <c r="M735" s="179">
        <v>34942</v>
      </c>
      <c r="P735" s="209"/>
    </row>
    <row r="736" spans="1:16" ht="12">
      <c r="A736" s="41">
        <v>16</v>
      </c>
      <c r="C736" s="4" t="s">
        <v>31</v>
      </c>
      <c r="E736" s="41">
        <v>16</v>
      </c>
      <c r="F736" s="41"/>
      <c r="G736" s="185"/>
      <c r="H736" s="179">
        <f>3305564+236082-H739-405352-1</f>
        <v>2667091</v>
      </c>
      <c r="I736" s="185"/>
      <c r="J736" s="179">
        <f>3794594-165734-J739</f>
        <v>3156026</v>
      </c>
      <c r="K736" s="179"/>
      <c r="L736" s="185"/>
      <c r="M736" s="179">
        <f>7545956-30000-30425-M739-2700000-900000</f>
        <v>3400174</v>
      </c>
      <c r="N736" s="5" t="s">
        <v>593</v>
      </c>
      <c r="P736" s="209"/>
    </row>
    <row r="737" spans="1:16" ht="12">
      <c r="A737" s="41">
        <v>17</v>
      </c>
      <c r="C737" s="4" t="s">
        <v>32</v>
      </c>
      <c r="E737" s="41">
        <v>17</v>
      </c>
      <c r="F737" s="41"/>
      <c r="G737" s="185"/>
      <c r="H737" s="179">
        <f>191966-191966</f>
        <v>0</v>
      </c>
      <c r="I737" s="185"/>
      <c r="J737" s="179">
        <v>0</v>
      </c>
      <c r="K737" s="179"/>
      <c r="L737" s="185"/>
      <c r="M737" s="179"/>
      <c r="P737" s="209"/>
    </row>
    <row r="738" spans="1:16" ht="12">
      <c r="A738" s="41">
        <v>18</v>
      </c>
      <c r="C738" s="4" t="s">
        <v>40</v>
      </c>
      <c r="E738" s="41">
        <v>18</v>
      </c>
      <c r="F738" s="41"/>
      <c r="G738" s="185"/>
      <c r="H738" s="179">
        <f>2224038-1191916</f>
        <v>1032122</v>
      </c>
      <c r="I738" s="185"/>
      <c r="J738" s="179">
        <f>3039764+250179-2033188+34358</f>
        <v>1291113</v>
      </c>
      <c r="K738" s="179"/>
      <c r="L738" s="185"/>
      <c r="M738" s="179">
        <f>2747070-1565830</f>
        <v>1181240</v>
      </c>
      <c r="P738" s="209"/>
    </row>
    <row r="739" spans="1:16" ht="12">
      <c r="A739" s="41">
        <v>19</v>
      </c>
      <c r="C739" s="4" t="s">
        <v>42</v>
      </c>
      <c r="E739" s="41">
        <v>19</v>
      </c>
      <c r="F739" s="41"/>
      <c r="G739" s="185"/>
      <c r="H739" s="179">
        <v>469202</v>
      </c>
      <c r="I739" s="185"/>
      <c r="J739" s="179">
        <v>472834</v>
      </c>
      <c r="K739" s="179"/>
      <c r="L739" s="185"/>
      <c r="M739" s="179">
        <v>485357</v>
      </c>
      <c r="P739" s="209"/>
    </row>
    <row r="740" spans="1:16" ht="12">
      <c r="A740" s="41">
        <v>20</v>
      </c>
      <c r="C740" s="4" t="s">
        <v>115</v>
      </c>
      <c r="E740" s="41">
        <v>20</v>
      </c>
      <c r="F740" s="41"/>
      <c r="G740" s="185"/>
      <c r="H740" s="179">
        <v>-3763260</v>
      </c>
      <c r="I740" s="185"/>
      <c r="J740" s="179">
        <v>-3924045</v>
      </c>
      <c r="K740" s="179"/>
      <c r="L740" s="185"/>
      <c r="M740" s="179">
        <v>-4167139</v>
      </c>
      <c r="P740" s="209"/>
    </row>
    <row r="741" spans="1:13" ht="12">
      <c r="A741" s="41">
        <v>21</v>
      </c>
      <c r="E741" s="41">
        <v>21</v>
      </c>
      <c r="F741" s="41"/>
      <c r="G741" s="18"/>
      <c r="H741" s="86"/>
      <c r="I741" s="18"/>
      <c r="J741" s="86"/>
      <c r="K741" s="176"/>
      <c r="L741" s="18"/>
      <c r="M741" s="86"/>
    </row>
    <row r="742" spans="1:13" ht="12">
      <c r="A742" s="41">
        <v>22</v>
      </c>
      <c r="E742" s="41">
        <v>22</v>
      </c>
      <c r="F742" s="41"/>
      <c r="G742" s="71"/>
      <c r="H742" s="86"/>
      <c r="I742" s="71"/>
      <c r="J742" s="86"/>
      <c r="L742" s="71"/>
      <c r="M742" s="86"/>
    </row>
    <row r="743" spans="1:13" ht="12">
      <c r="A743" s="41">
        <v>23</v>
      </c>
      <c r="D743" s="47"/>
      <c r="E743" s="41">
        <v>23</v>
      </c>
      <c r="F743" s="41"/>
      <c r="G743" s="207"/>
      <c r="H743" s="86"/>
      <c r="I743" s="207"/>
      <c r="J743" s="86"/>
      <c r="L743" s="207"/>
      <c r="M743" s="86"/>
    </row>
    <row r="744" spans="1:13" ht="12">
      <c r="A744" s="41">
        <v>24</v>
      </c>
      <c r="D744" s="47"/>
      <c r="E744" s="41">
        <v>24</v>
      </c>
      <c r="F744" s="41"/>
      <c r="G744" s="207"/>
      <c r="H744" s="86"/>
      <c r="I744" s="207"/>
      <c r="J744" s="86"/>
      <c r="L744" s="207"/>
      <c r="M744" s="86"/>
    </row>
    <row r="745" spans="7:17" ht="12">
      <c r="G745" s="18" t="s">
        <v>1</v>
      </c>
      <c r="H745" s="176" t="s">
        <v>1</v>
      </c>
      <c r="I745" s="18" t="s">
        <v>1</v>
      </c>
      <c r="J745" s="176" t="s">
        <v>1</v>
      </c>
      <c r="K745" s="176" t="s">
        <v>1</v>
      </c>
      <c r="L745" s="18" t="s">
        <v>1</v>
      </c>
      <c r="M745" s="176" t="s">
        <v>1</v>
      </c>
      <c r="Q745" s="192"/>
    </row>
    <row r="746" spans="1:17" ht="12">
      <c r="A746" s="41">
        <v>25</v>
      </c>
      <c r="C746" s="4" t="s">
        <v>270</v>
      </c>
      <c r="E746" s="41">
        <v>25</v>
      </c>
      <c r="F746" s="41"/>
      <c r="G746" s="71">
        <f>SUM(G731:G742)</f>
        <v>170.49</v>
      </c>
      <c r="H746" s="86">
        <f>SUM(H731:H742)</f>
        <v>12606510</v>
      </c>
      <c r="I746" s="71">
        <f>SUM(I731:I742)</f>
        <v>184.24131509443694</v>
      </c>
      <c r="J746" s="86">
        <f>SUM(J731:J742)</f>
        <v>14875192</v>
      </c>
      <c r="L746" s="71">
        <f>SUM(L731:L742)</f>
        <v>183.15</v>
      </c>
      <c r="M746" s="86">
        <f>SUM(M731:M742)</f>
        <v>15818537</v>
      </c>
      <c r="Q746" s="192"/>
    </row>
    <row r="747" spans="5:13" ht="12">
      <c r="E747" s="38"/>
      <c r="F747" s="38"/>
      <c r="G747" s="18" t="s">
        <v>1</v>
      </c>
      <c r="H747" s="176" t="s">
        <v>1</v>
      </c>
      <c r="I747" s="176" t="s">
        <v>1</v>
      </c>
      <c r="J747" s="176" t="s">
        <v>1</v>
      </c>
      <c r="K747" s="176" t="s">
        <v>1</v>
      </c>
      <c r="L747" s="18" t="s">
        <v>1</v>
      </c>
      <c r="M747" s="176" t="s">
        <v>1</v>
      </c>
    </row>
    <row r="748" ht="12">
      <c r="A748" s="4"/>
    </row>
    <row r="751" spans="1:16" s="21" customFormat="1" ht="12">
      <c r="A751" s="70" t="str">
        <f>$A$82</f>
        <v>Institution No.:  GFD</v>
      </c>
      <c r="E751" s="20"/>
      <c r="F751" s="20"/>
      <c r="G751" s="87"/>
      <c r="H751" s="87"/>
      <c r="I751" s="87"/>
      <c r="J751" s="87"/>
      <c r="K751" s="208"/>
      <c r="L751" s="87"/>
      <c r="M751" s="212" t="s">
        <v>41</v>
      </c>
      <c r="O751" s="375"/>
      <c r="P751" s="376"/>
    </row>
    <row r="752" spans="1:16" s="21" customFormat="1" ht="12">
      <c r="A752" s="434" t="s">
        <v>163</v>
      </c>
      <c r="B752" s="434"/>
      <c r="C752" s="434"/>
      <c r="D752" s="434"/>
      <c r="E752" s="434"/>
      <c r="F752" s="434"/>
      <c r="G752" s="434"/>
      <c r="H752" s="434"/>
      <c r="I752" s="434"/>
      <c r="J752" s="434"/>
      <c r="K752" s="434"/>
      <c r="L752" s="434"/>
      <c r="M752" s="434"/>
      <c r="O752" s="375"/>
      <c r="P752" s="376"/>
    </row>
    <row r="753" spans="1:13" ht="12">
      <c r="A753" s="70" t="str">
        <f>$A$84</f>
        <v>NAME: University of Colorado - Denver</v>
      </c>
      <c r="G753" s="86"/>
      <c r="H753" s="86"/>
      <c r="I753" s="217"/>
      <c r="J753" s="219"/>
      <c r="L753" s="86"/>
      <c r="M753" s="213" t="str">
        <f>$M$3</f>
        <v>Date: 10/1/2007</v>
      </c>
    </row>
    <row r="754" spans="1:13" ht="12">
      <c r="A754" s="15" t="s">
        <v>1</v>
      </c>
      <c r="B754" s="15" t="s">
        <v>1</v>
      </c>
      <c r="C754" s="15" t="s">
        <v>1</v>
      </c>
      <c r="D754" s="15" t="s">
        <v>1</v>
      </c>
      <c r="E754" s="15" t="s">
        <v>1</v>
      </c>
      <c r="F754" s="15"/>
      <c r="G754" s="176" t="s">
        <v>1</v>
      </c>
      <c r="H754" s="176" t="s">
        <v>1</v>
      </c>
      <c r="I754" s="176" t="s">
        <v>1</v>
      </c>
      <c r="J754" s="176" t="s">
        <v>1</v>
      </c>
      <c r="K754" s="176" t="s">
        <v>1</v>
      </c>
      <c r="L754" s="176" t="s">
        <v>1</v>
      </c>
      <c r="M754" s="176" t="s">
        <v>1</v>
      </c>
    </row>
    <row r="755" spans="1:13" ht="12">
      <c r="A755" s="73" t="s">
        <v>2</v>
      </c>
      <c r="E755" s="73" t="s">
        <v>2</v>
      </c>
      <c r="F755" s="73"/>
      <c r="G755" s="123"/>
      <c r="H755" s="123" t="str">
        <f>$H$86</f>
        <v>2005-06</v>
      </c>
      <c r="I755" s="86"/>
      <c r="J755" s="123" t="str">
        <f>$J$86</f>
        <v>2006-07</v>
      </c>
      <c r="L755" s="86"/>
      <c r="M755" s="123" t="str">
        <f>$M$86</f>
        <v>2007-08</v>
      </c>
    </row>
    <row r="756" spans="1:13" ht="12">
      <c r="A756" s="73" t="s">
        <v>4</v>
      </c>
      <c r="C756" s="74" t="s">
        <v>20</v>
      </c>
      <c r="E756" s="73" t="s">
        <v>4</v>
      </c>
      <c r="F756" s="73"/>
      <c r="G756" s="123" t="s">
        <v>6</v>
      </c>
      <c r="H756" s="123" t="s">
        <v>7</v>
      </c>
      <c r="I756" s="123" t="s">
        <v>6</v>
      </c>
      <c r="J756" s="123" t="s">
        <v>7</v>
      </c>
      <c r="K756" s="191"/>
      <c r="L756" s="123" t="s">
        <v>6</v>
      </c>
      <c r="M756" s="123" t="s">
        <v>8</v>
      </c>
    </row>
    <row r="757" spans="1:13" ht="12">
      <c r="A757" s="15" t="s">
        <v>1</v>
      </c>
      <c r="B757" s="15" t="s">
        <v>1</v>
      </c>
      <c r="C757" s="15" t="s">
        <v>1</v>
      </c>
      <c r="D757" s="15" t="s">
        <v>1</v>
      </c>
      <c r="E757" s="15" t="s">
        <v>1</v>
      </c>
      <c r="F757" s="15"/>
      <c r="G757" s="176" t="s">
        <v>1</v>
      </c>
      <c r="H757" s="176" t="s">
        <v>1</v>
      </c>
      <c r="I757" s="176" t="s">
        <v>1</v>
      </c>
      <c r="J757" s="176" t="s">
        <v>1</v>
      </c>
      <c r="K757" s="176" t="s">
        <v>1</v>
      </c>
      <c r="L757" s="176" t="s">
        <v>1</v>
      </c>
      <c r="M757" s="176" t="s">
        <v>1</v>
      </c>
    </row>
    <row r="758" spans="1:13" ht="12">
      <c r="A758" s="41">
        <v>1</v>
      </c>
      <c r="C758" s="4" t="s">
        <v>36</v>
      </c>
      <c r="E758" s="41">
        <v>1</v>
      </c>
      <c r="F758" s="41"/>
      <c r="G758" s="185">
        <v>24.8</v>
      </c>
      <c r="H758" s="179">
        <f>7015+10785+6255+1391334</f>
        <v>1415389</v>
      </c>
      <c r="I758" s="201">
        <f>J758/59124</f>
        <v>27.21160611595968</v>
      </c>
      <c r="J758" s="179">
        <f>11+18994+1589854</f>
        <v>1608859</v>
      </c>
      <c r="K758" s="179"/>
      <c r="L758" s="201">
        <f>24.16+0.95</f>
        <v>25.11</v>
      </c>
      <c r="M758" s="179">
        <f>7564+1624803+59177</f>
        <v>1691544</v>
      </c>
    </row>
    <row r="759" spans="1:13" ht="12">
      <c r="A759" s="41">
        <v>2</v>
      </c>
      <c r="C759" s="4" t="s">
        <v>37</v>
      </c>
      <c r="E759" s="41">
        <v>2</v>
      </c>
      <c r="F759" s="41"/>
      <c r="G759" s="185"/>
      <c r="H759" s="179">
        <f>37841+939+22+270811-35703</f>
        <v>273910</v>
      </c>
      <c r="I759" s="185"/>
      <c r="J759" s="179">
        <f>-162705+1461+366438+134006+28756</f>
        <v>367956</v>
      </c>
      <c r="K759" s="179"/>
      <c r="L759" s="185"/>
      <c r="M759" s="179">
        <f>389593+15949</f>
        <v>405542</v>
      </c>
    </row>
    <row r="760" spans="1:13" ht="12">
      <c r="A760" s="41">
        <v>3</v>
      </c>
      <c r="E760" s="41">
        <v>3</v>
      </c>
      <c r="F760" s="41"/>
      <c r="G760" s="222"/>
      <c r="H760" s="179"/>
      <c r="I760" s="222"/>
      <c r="J760" s="179"/>
      <c r="K760" s="179"/>
      <c r="L760" s="222"/>
      <c r="M760" s="179"/>
    </row>
    <row r="761" spans="1:13" ht="12">
      <c r="A761" s="41">
        <v>4</v>
      </c>
      <c r="C761" s="4" t="s">
        <v>23</v>
      </c>
      <c r="E761" s="41">
        <v>4</v>
      </c>
      <c r="F761" s="41"/>
      <c r="G761" s="71">
        <f>G758</f>
        <v>24.8</v>
      </c>
      <c r="H761" s="86">
        <f>SUM(H758:H759)</f>
        <v>1689299</v>
      </c>
      <c r="I761" s="71">
        <f>I758</f>
        <v>27.21160611595968</v>
      </c>
      <c r="J761" s="86">
        <f>SUM(J758:J759)</f>
        <v>1976815</v>
      </c>
      <c r="L761" s="71">
        <f>L758</f>
        <v>25.11</v>
      </c>
      <c r="M761" s="86">
        <f>SUM(M758:M759)</f>
        <v>2097086</v>
      </c>
    </row>
    <row r="762" spans="1:13" ht="12">
      <c r="A762" s="41">
        <v>5</v>
      </c>
      <c r="E762" s="41">
        <v>5</v>
      </c>
      <c r="F762" s="41"/>
      <c r="G762" s="71"/>
      <c r="H762" s="86"/>
      <c r="I762" s="71"/>
      <c r="J762" s="86"/>
      <c r="L762" s="71"/>
      <c r="M762" s="86"/>
    </row>
    <row r="763" spans="1:13" ht="12">
      <c r="A763" s="41">
        <v>6</v>
      </c>
      <c r="E763" s="41">
        <v>6</v>
      </c>
      <c r="F763" s="41"/>
      <c r="G763" s="71"/>
      <c r="H763" s="86"/>
      <c r="I763" s="71"/>
      <c r="J763" s="86"/>
      <c r="L763" s="71"/>
      <c r="M763" s="86"/>
    </row>
    <row r="764" spans="1:13" ht="12">
      <c r="A764" s="41">
        <v>7</v>
      </c>
      <c r="C764" s="4" t="s">
        <v>25</v>
      </c>
      <c r="E764" s="41">
        <v>7</v>
      </c>
      <c r="F764" s="41"/>
      <c r="G764" s="185">
        <v>31.3</v>
      </c>
      <c r="H764" s="86">
        <f>1643558</f>
        <v>1643558</v>
      </c>
      <c r="I764" s="185">
        <f>J764/53742</f>
        <v>26.7000669867143</v>
      </c>
      <c r="J764" s="179">
        <v>1434915</v>
      </c>
      <c r="K764" s="179"/>
      <c r="L764" s="185">
        <f>30.49+3.5</f>
        <v>33.989999999999995</v>
      </c>
      <c r="M764" s="179">
        <f>1511881+202940</f>
        <v>1714821</v>
      </c>
    </row>
    <row r="765" spans="1:13" ht="12">
      <c r="A765" s="41">
        <v>8</v>
      </c>
      <c r="C765" s="4" t="s">
        <v>26</v>
      </c>
      <c r="E765" s="41">
        <v>8</v>
      </c>
      <c r="F765" s="41"/>
      <c r="G765" s="185"/>
      <c r="H765" s="86">
        <f>163972--165918</f>
        <v>329890</v>
      </c>
      <c r="I765" s="185"/>
      <c r="J765" s="179">
        <f>165784+141080+17066</f>
        <v>323930</v>
      </c>
      <c r="K765" s="179"/>
      <c r="L765" s="185"/>
      <c r="M765" s="179">
        <f>413559+45755</f>
        <v>459314</v>
      </c>
    </row>
    <row r="766" spans="1:13" ht="12">
      <c r="A766" s="41">
        <v>9</v>
      </c>
      <c r="C766" s="4" t="s">
        <v>27</v>
      </c>
      <c r="E766" s="41">
        <v>9</v>
      </c>
      <c r="F766" s="41"/>
      <c r="G766" s="71">
        <f>G764</f>
        <v>31.3</v>
      </c>
      <c r="H766" s="86">
        <f>SUM(H764:H765)</f>
        <v>1973448</v>
      </c>
      <c r="I766" s="71">
        <f>I764</f>
        <v>26.7000669867143</v>
      </c>
      <c r="J766" s="86">
        <f>SUM(J764:J765)</f>
        <v>1758845</v>
      </c>
      <c r="L766" s="71">
        <f>L764</f>
        <v>33.989999999999995</v>
      </c>
      <c r="M766" s="86">
        <f>SUM(M764:M765)</f>
        <v>2174135</v>
      </c>
    </row>
    <row r="767" spans="1:13" ht="12">
      <c r="A767" s="41">
        <v>10</v>
      </c>
      <c r="E767" s="41">
        <v>10</v>
      </c>
      <c r="F767" s="41"/>
      <c r="G767" s="71"/>
      <c r="H767" s="86"/>
      <c r="I767" s="71"/>
      <c r="J767" s="86"/>
      <c r="L767" s="71"/>
      <c r="M767" s="86"/>
    </row>
    <row r="768" spans="1:13" ht="12">
      <c r="A768" s="41">
        <v>11</v>
      </c>
      <c r="C768" s="4" t="s">
        <v>28</v>
      </c>
      <c r="E768" s="41">
        <v>11</v>
      </c>
      <c r="F768" s="41"/>
      <c r="G768" s="71">
        <f>SUM(G766,G761)</f>
        <v>56.1</v>
      </c>
      <c r="H768" s="86">
        <f>SUM(H766,H761)</f>
        <v>3662747</v>
      </c>
      <c r="I768" s="71">
        <f>SUM(I766,I761)</f>
        <v>53.91167310267398</v>
      </c>
      <c r="J768" s="86">
        <f>SUM(J766,J761)</f>
        <v>3735660</v>
      </c>
      <c r="L768" s="71">
        <f>SUM(L766,L761)</f>
        <v>59.099999999999994</v>
      </c>
      <c r="M768" s="86">
        <f>SUM(M766,M761)</f>
        <v>4271221</v>
      </c>
    </row>
    <row r="769" spans="1:12" ht="12">
      <c r="A769" s="41">
        <v>12</v>
      </c>
      <c r="E769" s="41">
        <v>12</v>
      </c>
      <c r="F769" s="41"/>
      <c r="G769" s="207"/>
      <c r="H769" s="86"/>
      <c r="I769" s="207"/>
      <c r="J769" s="86"/>
      <c r="L769" s="207"/>
    </row>
    <row r="770" spans="1:13" ht="12">
      <c r="A770" s="41">
        <v>13</v>
      </c>
      <c r="C770" s="4" t="s">
        <v>38</v>
      </c>
      <c r="E770" s="41">
        <v>13</v>
      </c>
      <c r="F770" s="41"/>
      <c r="G770" s="185"/>
      <c r="H770" s="86">
        <f>159911+1342</f>
        <v>161253</v>
      </c>
      <c r="I770" s="185"/>
      <c r="J770" s="179">
        <f>172270+1604</f>
        <v>173874</v>
      </c>
      <c r="K770" s="179"/>
      <c r="L770" s="185"/>
      <c r="M770" s="179">
        <f>107335+911+1474+62</f>
        <v>109782</v>
      </c>
    </row>
    <row r="771" spans="1:13" ht="12">
      <c r="A771" s="41">
        <v>14</v>
      </c>
      <c r="E771" s="41">
        <v>14</v>
      </c>
      <c r="F771" s="41"/>
      <c r="G771" s="185"/>
      <c r="H771" s="86"/>
      <c r="I771" s="185"/>
      <c r="J771" s="179"/>
      <c r="K771" s="179"/>
      <c r="L771" s="185"/>
      <c r="M771" s="179"/>
    </row>
    <row r="772" spans="1:13" ht="12">
      <c r="A772" s="41">
        <v>15</v>
      </c>
      <c r="C772" s="4" t="s">
        <v>30</v>
      </c>
      <c r="E772" s="41">
        <v>15</v>
      </c>
      <c r="F772" s="41"/>
      <c r="G772" s="185"/>
      <c r="H772" s="86">
        <f>62039+10</f>
        <v>62049</v>
      </c>
      <c r="I772" s="185"/>
      <c r="J772" s="192">
        <v>52936</v>
      </c>
      <c r="K772" s="179"/>
      <c r="L772" s="185"/>
      <c r="M772" s="192">
        <v>57948</v>
      </c>
    </row>
    <row r="773" spans="1:13" ht="12">
      <c r="A773" s="41">
        <v>16</v>
      </c>
      <c r="C773" s="4" t="s">
        <v>31</v>
      </c>
      <c r="E773" s="41">
        <v>16</v>
      </c>
      <c r="F773" s="41"/>
      <c r="G773" s="185"/>
      <c r="H773" s="86">
        <f>1208391-33775</f>
        <v>1174616</v>
      </c>
      <c r="I773" s="185"/>
      <c r="J773" s="192">
        <f>815121-90468</f>
        <v>724653</v>
      </c>
      <c r="K773" s="179"/>
      <c r="L773" s="185"/>
      <c r="M773" s="192">
        <f>910619+14902</f>
        <v>925521</v>
      </c>
    </row>
    <row r="774" spans="1:13" ht="12">
      <c r="A774" s="41">
        <v>17</v>
      </c>
      <c r="C774" s="4" t="s">
        <v>32</v>
      </c>
      <c r="E774" s="41">
        <v>17</v>
      </c>
      <c r="F774" s="41"/>
      <c r="G774" s="185"/>
      <c r="H774" s="86"/>
      <c r="I774" s="185"/>
      <c r="J774" s="86"/>
      <c r="K774" s="179"/>
      <c r="L774" s="185"/>
      <c r="M774" s="179"/>
    </row>
    <row r="775" spans="1:13" ht="12">
      <c r="A775" s="41">
        <v>18</v>
      </c>
      <c r="E775" s="41">
        <v>18</v>
      </c>
      <c r="F775" s="41"/>
      <c r="G775" s="185"/>
      <c r="H775" s="86"/>
      <c r="I775" s="185"/>
      <c r="J775" s="86"/>
      <c r="K775" s="179"/>
      <c r="L775" s="185"/>
      <c r="M775" s="179"/>
    </row>
    <row r="776" spans="1:13" ht="12">
      <c r="A776" s="41">
        <v>19</v>
      </c>
      <c r="C776" s="4" t="s">
        <v>42</v>
      </c>
      <c r="E776" s="41">
        <v>19</v>
      </c>
      <c r="F776" s="41"/>
      <c r="G776" s="185"/>
      <c r="H776" s="86"/>
      <c r="I776" s="185"/>
      <c r="J776" s="86"/>
      <c r="K776" s="179"/>
      <c r="L776" s="185"/>
      <c r="M776" s="179"/>
    </row>
    <row r="777" spans="1:13" ht="12">
      <c r="A777" s="41">
        <v>20</v>
      </c>
      <c r="E777" s="41">
        <v>20</v>
      </c>
      <c r="F777" s="41"/>
      <c r="G777" s="18"/>
      <c r="H777" s="176"/>
      <c r="I777" s="18"/>
      <c r="J777" s="176"/>
      <c r="K777" s="176"/>
      <c r="L777" s="18"/>
      <c r="M777" s="176"/>
    </row>
    <row r="778" spans="1:13" ht="12">
      <c r="A778" s="41">
        <v>21</v>
      </c>
      <c r="E778" s="41">
        <v>21</v>
      </c>
      <c r="F778" s="41"/>
      <c r="G778" s="18"/>
      <c r="H778" s="86"/>
      <c r="I778" s="18"/>
      <c r="J778" s="86"/>
      <c r="K778" s="176"/>
      <c r="L778" s="18"/>
      <c r="M778" s="86"/>
    </row>
    <row r="779" spans="1:13" ht="12">
      <c r="A779" s="41">
        <v>22</v>
      </c>
      <c r="E779" s="41">
        <v>22</v>
      </c>
      <c r="F779" s="41"/>
      <c r="G779" s="71"/>
      <c r="H779" s="86"/>
      <c r="I779" s="71"/>
      <c r="J779" s="86"/>
      <c r="L779" s="71"/>
      <c r="M779" s="86"/>
    </row>
    <row r="780" spans="1:13" ht="12">
      <c r="A780" s="41">
        <v>23</v>
      </c>
      <c r="D780" s="47"/>
      <c r="E780" s="41">
        <v>23</v>
      </c>
      <c r="F780" s="41"/>
      <c r="G780" s="207"/>
      <c r="H780" s="86"/>
      <c r="I780" s="207"/>
      <c r="J780" s="86"/>
      <c r="L780" s="207"/>
      <c r="M780" s="86"/>
    </row>
    <row r="781" spans="1:13" ht="12">
      <c r="A781" s="41">
        <v>24</v>
      </c>
      <c r="D781" s="47"/>
      <c r="E781" s="41">
        <v>24</v>
      </c>
      <c r="F781" s="41"/>
      <c r="G781" s="207"/>
      <c r="H781" s="86"/>
      <c r="I781" s="207"/>
      <c r="J781" s="86"/>
      <c r="L781" s="207"/>
      <c r="M781" s="86"/>
    </row>
    <row r="782" spans="7:16" ht="12">
      <c r="G782" s="18" t="s">
        <v>1</v>
      </c>
      <c r="H782" s="176" t="s">
        <v>1</v>
      </c>
      <c r="I782" s="18" t="s">
        <v>1</v>
      </c>
      <c r="J782" s="176" t="s">
        <v>1</v>
      </c>
      <c r="K782" s="176" t="s">
        <v>1</v>
      </c>
      <c r="L782" s="18" t="s">
        <v>1</v>
      </c>
      <c r="M782" s="176" t="s">
        <v>1</v>
      </c>
      <c r="N782" s="192"/>
      <c r="P782" s="220"/>
    </row>
    <row r="783" spans="1:13" ht="12">
      <c r="A783" s="41">
        <v>25</v>
      </c>
      <c r="C783" s="4" t="s">
        <v>271</v>
      </c>
      <c r="E783" s="41">
        <v>25</v>
      </c>
      <c r="F783" s="41"/>
      <c r="G783" s="71">
        <f>SUM(G768:G779)</f>
        <v>56.1</v>
      </c>
      <c r="H783" s="86">
        <f>SUM(H768:H779)</f>
        <v>5060665</v>
      </c>
      <c r="I783" s="71">
        <f>SUM(I768:I779)</f>
        <v>53.91167310267398</v>
      </c>
      <c r="J783" s="86">
        <f>SUM(J768:J779)</f>
        <v>4687123</v>
      </c>
      <c r="L783" s="71">
        <f>SUM(L768:L779)</f>
        <v>59.099999999999994</v>
      </c>
      <c r="M783" s="86">
        <f>SUM(M768:M779)</f>
        <v>5364472</v>
      </c>
    </row>
    <row r="784" spans="5:13" ht="12">
      <c r="E784" s="38"/>
      <c r="F784" s="38"/>
      <c r="G784" s="176" t="s">
        <v>1</v>
      </c>
      <c r="H784" s="176" t="s">
        <v>1</v>
      </c>
      <c r="I784" s="176" t="s">
        <v>1</v>
      </c>
      <c r="J784" s="176" t="s">
        <v>1</v>
      </c>
      <c r="K784" s="176" t="s">
        <v>1</v>
      </c>
      <c r="L784" s="176" t="s">
        <v>1</v>
      </c>
      <c r="M784" s="176" t="s">
        <v>1</v>
      </c>
    </row>
    <row r="787" ht="12">
      <c r="A787" s="4"/>
    </row>
    <row r="788" spans="1:16" s="21" customFormat="1" ht="12">
      <c r="A788" s="70" t="str">
        <f>$A$82</f>
        <v>Institution No.:  GFD</v>
      </c>
      <c r="E788" s="20"/>
      <c r="F788" s="20"/>
      <c r="G788" s="87"/>
      <c r="H788" s="87"/>
      <c r="I788" s="87"/>
      <c r="J788" s="87"/>
      <c r="K788" s="208"/>
      <c r="L788" s="87"/>
      <c r="M788" s="212" t="s">
        <v>43</v>
      </c>
      <c r="O788" s="375"/>
      <c r="P788" s="376"/>
    </row>
    <row r="789" spans="1:16" s="21" customFormat="1" ht="12">
      <c r="A789" s="434" t="s">
        <v>164</v>
      </c>
      <c r="B789" s="434"/>
      <c r="C789" s="434"/>
      <c r="D789" s="434"/>
      <c r="E789" s="434"/>
      <c r="F789" s="434"/>
      <c r="G789" s="434"/>
      <c r="H789" s="434"/>
      <c r="I789" s="434"/>
      <c r="J789" s="434"/>
      <c r="K789" s="434"/>
      <c r="L789" s="434"/>
      <c r="M789" s="434"/>
      <c r="O789" s="375"/>
      <c r="P789" s="376"/>
    </row>
    <row r="790" spans="1:13" ht="12">
      <c r="A790" s="70" t="str">
        <f>$A$84</f>
        <v>NAME: University of Colorado - Denver</v>
      </c>
      <c r="G790" s="86"/>
      <c r="H790" s="217"/>
      <c r="I790" s="218"/>
      <c r="J790" s="86"/>
      <c r="L790" s="86"/>
      <c r="M790" s="213" t="str">
        <f>$M$3</f>
        <v>Date: 10/1/2007</v>
      </c>
    </row>
    <row r="791" spans="1:13" ht="12">
      <c r="A791" s="15" t="s">
        <v>1</v>
      </c>
      <c r="B791" s="15" t="s">
        <v>1</v>
      </c>
      <c r="C791" s="15" t="s">
        <v>1</v>
      </c>
      <c r="D791" s="15" t="s">
        <v>1</v>
      </c>
      <c r="E791" s="15" t="s">
        <v>1</v>
      </c>
      <c r="F791" s="15"/>
      <c r="G791" s="176" t="s">
        <v>1</v>
      </c>
      <c r="H791" s="176" t="s">
        <v>1</v>
      </c>
      <c r="I791" s="176" t="s">
        <v>1</v>
      </c>
      <c r="J791" s="176" t="s">
        <v>1</v>
      </c>
      <c r="K791" s="176" t="s">
        <v>1</v>
      </c>
      <c r="L791" s="176" t="s">
        <v>1</v>
      </c>
      <c r="M791" s="176" t="s">
        <v>1</v>
      </c>
    </row>
    <row r="792" spans="1:13" ht="12">
      <c r="A792" s="73" t="s">
        <v>2</v>
      </c>
      <c r="E792" s="73" t="s">
        <v>2</v>
      </c>
      <c r="F792" s="73"/>
      <c r="G792" s="123"/>
      <c r="H792" s="123" t="str">
        <f>$H$86</f>
        <v>2005-06</v>
      </c>
      <c r="I792" s="86"/>
      <c r="J792" s="123" t="str">
        <f>$J$86</f>
        <v>2006-07</v>
      </c>
      <c r="L792" s="86"/>
      <c r="M792" s="123" t="str">
        <f>$M$86</f>
        <v>2007-08</v>
      </c>
    </row>
    <row r="793" spans="1:13" ht="12">
      <c r="A793" s="73" t="s">
        <v>4</v>
      </c>
      <c r="C793" s="74" t="s">
        <v>20</v>
      </c>
      <c r="E793" s="73" t="s">
        <v>4</v>
      </c>
      <c r="F793" s="73"/>
      <c r="G793" s="123" t="s">
        <v>6</v>
      </c>
      <c r="H793" s="123" t="s">
        <v>7</v>
      </c>
      <c r="I793" s="123" t="s">
        <v>6</v>
      </c>
      <c r="J793" s="123" t="s">
        <v>7</v>
      </c>
      <c r="K793" s="191"/>
      <c r="L793" s="123" t="s">
        <v>6</v>
      </c>
      <c r="M793" s="123" t="s">
        <v>8</v>
      </c>
    </row>
    <row r="794" spans="1:13" ht="12">
      <c r="A794" s="15" t="s">
        <v>1</v>
      </c>
      <c r="B794" s="15" t="s">
        <v>1</v>
      </c>
      <c r="C794" s="15" t="s">
        <v>1</v>
      </c>
      <c r="D794" s="15" t="s">
        <v>1</v>
      </c>
      <c r="E794" s="15" t="s">
        <v>1</v>
      </c>
      <c r="F794" s="15"/>
      <c r="G794" s="176" t="s">
        <v>1</v>
      </c>
      <c r="H794" s="176" t="s">
        <v>1</v>
      </c>
      <c r="I794" s="176" t="s">
        <v>1</v>
      </c>
      <c r="J794" s="176" t="s">
        <v>1</v>
      </c>
      <c r="K794" s="176" t="s">
        <v>1</v>
      </c>
      <c r="L794" s="176" t="s">
        <v>1</v>
      </c>
      <c r="M794" s="176" t="s">
        <v>1</v>
      </c>
    </row>
    <row r="795" spans="1:13" ht="12">
      <c r="A795" s="41">
        <v>1</v>
      </c>
      <c r="C795" s="4" t="s">
        <v>36</v>
      </c>
      <c r="E795" s="41">
        <v>1</v>
      </c>
      <c r="F795" s="41"/>
      <c r="G795" s="185">
        <f>22.64+9.79</f>
        <v>32.43</v>
      </c>
      <c r="H795" s="223">
        <f>159109+200+1816856+943601</f>
        <v>2919766</v>
      </c>
      <c r="I795" s="185">
        <f>J795/93264</f>
        <v>30.817357179619144</v>
      </c>
      <c r="J795" s="179">
        <f>7012+2249829+617309</f>
        <v>2874150</v>
      </c>
      <c r="K795" s="179"/>
      <c r="L795" s="185">
        <f>1+8+9.78+16.02</f>
        <v>34.8</v>
      </c>
      <c r="M795" s="179">
        <f>52500+778973+1596737+844171</f>
        <v>3272381</v>
      </c>
    </row>
    <row r="796" spans="1:13" ht="12">
      <c r="A796" s="41">
        <v>2</v>
      </c>
      <c r="C796" s="4" t="s">
        <v>37</v>
      </c>
      <c r="E796" s="41">
        <v>2</v>
      </c>
      <c r="F796" s="41"/>
      <c r="G796" s="185"/>
      <c r="H796" s="179">
        <f>-200274+347636--225210+165852</f>
        <v>538424</v>
      </c>
      <c r="I796" s="185"/>
      <c r="J796" s="179">
        <f>-108758+423599+86534+23724+114004</f>
        <v>539103</v>
      </c>
      <c r="K796" s="179"/>
      <c r="L796" s="185"/>
      <c r="M796" s="179">
        <f>13812+177030+1031+338579+130044</f>
        <v>660496</v>
      </c>
    </row>
    <row r="797" spans="1:13" ht="12">
      <c r="A797" s="41">
        <v>3</v>
      </c>
      <c r="E797" s="41">
        <v>3</v>
      </c>
      <c r="F797" s="41"/>
      <c r="G797" s="185"/>
      <c r="H797" s="179"/>
      <c r="I797" s="185"/>
      <c r="J797" s="179"/>
      <c r="K797" s="179"/>
      <c r="L797" s="185"/>
      <c r="M797" s="179"/>
    </row>
    <row r="798" spans="1:13" ht="12">
      <c r="A798" s="41">
        <v>4</v>
      </c>
      <c r="C798" s="4" t="s">
        <v>23</v>
      </c>
      <c r="E798" s="41">
        <v>4</v>
      </c>
      <c r="F798" s="41"/>
      <c r="G798" s="71">
        <f>G795</f>
        <v>32.43</v>
      </c>
      <c r="H798" s="86">
        <f>SUM(H795:H796)</f>
        <v>3458190</v>
      </c>
      <c r="I798" s="71">
        <f>I795</f>
        <v>30.817357179619144</v>
      </c>
      <c r="J798" s="86">
        <f>SUM(J795:J796)</f>
        <v>3413253</v>
      </c>
      <c r="L798" s="71">
        <f>L795</f>
        <v>34.8</v>
      </c>
      <c r="M798" s="86">
        <f>SUM(M795:M796)</f>
        <v>3932877</v>
      </c>
    </row>
    <row r="799" spans="1:13" ht="12">
      <c r="A799" s="41">
        <v>5</v>
      </c>
      <c r="E799" s="41">
        <v>5</v>
      </c>
      <c r="F799" s="41"/>
      <c r="G799" s="71"/>
      <c r="H799" s="86"/>
      <c r="I799" s="71"/>
      <c r="J799" s="86"/>
      <c r="L799" s="71"/>
      <c r="M799" s="86"/>
    </row>
    <row r="800" spans="1:13" ht="12">
      <c r="A800" s="41">
        <v>6</v>
      </c>
      <c r="E800" s="41">
        <v>6</v>
      </c>
      <c r="F800" s="41"/>
      <c r="G800" s="71"/>
      <c r="H800" s="86"/>
      <c r="I800" s="71"/>
      <c r="J800" s="86"/>
      <c r="L800" s="71"/>
      <c r="M800" s="86"/>
    </row>
    <row r="801" spans="1:13" ht="12">
      <c r="A801" s="41">
        <v>7</v>
      </c>
      <c r="C801" s="4" t="s">
        <v>25</v>
      </c>
      <c r="E801" s="41">
        <v>7</v>
      </c>
      <c r="F801" s="41"/>
      <c r="G801" s="185">
        <v>54.4</v>
      </c>
      <c r="H801" s="179">
        <f>1717305+1233539</f>
        <v>2950844</v>
      </c>
      <c r="I801" s="185">
        <f>J801/55694</f>
        <v>39.09212841598736</v>
      </c>
      <c r="J801" s="179">
        <f>1440321+736876</f>
        <v>2177197</v>
      </c>
      <c r="K801" s="179"/>
      <c r="L801" s="185">
        <f>1+12.46+34.55</f>
        <v>48.01</v>
      </c>
      <c r="M801" s="179">
        <f>45108+1853779+792835</f>
        <v>2691722</v>
      </c>
    </row>
    <row r="802" spans="1:13" ht="12">
      <c r="A802" s="41">
        <v>8</v>
      </c>
      <c r="C802" s="4" t="s">
        <v>26</v>
      </c>
      <c r="E802" s="41">
        <v>8</v>
      </c>
      <c r="F802" s="41"/>
      <c r="G802" s="185"/>
      <c r="H802" s="179">
        <f>168334--223264+244433</f>
        <v>636031</v>
      </c>
      <c r="I802" s="185"/>
      <c r="J802" s="179">
        <f>670538+2264+757+157069</f>
        <v>830628</v>
      </c>
      <c r="K802" s="179"/>
      <c r="L802" s="185"/>
      <c r="M802" s="179">
        <f>44040+455533+185083</f>
        <v>684656</v>
      </c>
    </row>
    <row r="803" spans="1:13" ht="12">
      <c r="A803" s="41">
        <v>9</v>
      </c>
      <c r="C803" s="4" t="s">
        <v>27</v>
      </c>
      <c r="E803" s="41">
        <v>9</v>
      </c>
      <c r="F803" s="41"/>
      <c r="G803" s="71">
        <f>G801</f>
        <v>54.4</v>
      </c>
      <c r="H803" s="86">
        <f>SUM(H801:H802)</f>
        <v>3586875</v>
      </c>
      <c r="I803" s="71">
        <f>I801</f>
        <v>39.09212841598736</v>
      </c>
      <c r="J803" s="86">
        <f>SUM(J801:J802)</f>
        <v>3007825</v>
      </c>
      <c r="L803" s="71">
        <f>L801</f>
        <v>48.01</v>
      </c>
      <c r="M803" s="86">
        <f>SUM(M801:M802)</f>
        <v>3376378</v>
      </c>
    </row>
    <row r="804" spans="1:12" ht="12">
      <c r="A804" s="41">
        <v>10</v>
      </c>
      <c r="E804" s="41">
        <v>10</v>
      </c>
      <c r="F804" s="41"/>
      <c r="G804" s="207"/>
      <c r="I804" s="207"/>
      <c r="L804" s="207"/>
    </row>
    <row r="805" spans="1:13" ht="12">
      <c r="A805" s="41">
        <v>11</v>
      </c>
      <c r="C805" s="4" t="s">
        <v>28</v>
      </c>
      <c r="E805" s="41">
        <v>11</v>
      </c>
      <c r="F805" s="41"/>
      <c r="G805" s="71">
        <f>SUM(G803,G798)</f>
        <v>86.83</v>
      </c>
      <c r="H805" s="86">
        <f>SUM(H803,H798)</f>
        <v>7045065</v>
      </c>
      <c r="I805" s="71">
        <f>SUM(I803,I798)</f>
        <v>69.9094855956065</v>
      </c>
      <c r="J805" s="86">
        <f>SUM(J803,J798)</f>
        <v>6421078</v>
      </c>
      <c r="L805" s="71">
        <f>SUM(L803,L798)</f>
        <v>82.81</v>
      </c>
      <c r="M805" s="86">
        <f>SUM(M803,M798)</f>
        <v>7309255</v>
      </c>
    </row>
    <row r="806" spans="1:12" ht="12">
      <c r="A806" s="41">
        <v>12</v>
      </c>
      <c r="E806" s="41">
        <v>12</v>
      </c>
      <c r="F806" s="41"/>
      <c r="G806" s="207"/>
      <c r="I806" s="207"/>
      <c r="L806" s="207"/>
    </row>
    <row r="807" spans="1:13" ht="12">
      <c r="A807" s="41">
        <v>13</v>
      </c>
      <c r="C807" s="4" t="s">
        <v>38</v>
      </c>
      <c r="E807" s="41">
        <v>13</v>
      </c>
      <c r="F807" s="41"/>
      <c r="G807" s="185"/>
      <c r="H807" s="179">
        <f>43994+435+23238+98</f>
        <v>67765</v>
      </c>
      <c r="I807" s="185"/>
      <c r="J807" s="179">
        <f>38579+344+15620+70</f>
        <v>54613</v>
      </c>
      <c r="K807" s="179"/>
      <c r="L807" s="185"/>
      <c r="M807" s="179">
        <f>18000+144+15343+61+18979+825</f>
        <v>53352</v>
      </c>
    </row>
    <row r="808" spans="1:13" ht="12">
      <c r="A808" s="41">
        <v>14</v>
      </c>
      <c r="E808" s="41">
        <v>14</v>
      </c>
      <c r="F808" s="41"/>
      <c r="G808" s="185"/>
      <c r="H808" s="179"/>
      <c r="I808" s="185"/>
      <c r="J808" s="179"/>
      <c r="K808" s="179"/>
      <c r="L808" s="185"/>
      <c r="M808" s="179"/>
    </row>
    <row r="809" spans="1:13" ht="12">
      <c r="A809" s="41">
        <v>15</v>
      </c>
      <c r="C809" s="4" t="s">
        <v>30</v>
      </c>
      <c r="E809" s="41">
        <v>15</v>
      </c>
      <c r="F809" s="41"/>
      <c r="G809" s="185"/>
      <c r="H809" s="179">
        <v>58862</v>
      </c>
      <c r="I809" s="185"/>
      <c r="J809" s="179">
        <v>71216</v>
      </c>
      <c r="K809" s="179"/>
      <c r="L809" s="185"/>
      <c r="M809" s="179">
        <f>12427+4408</f>
        <v>16835</v>
      </c>
    </row>
    <row r="810" spans="1:13" ht="12">
      <c r="A810" s="41">
        <v>16</v>
      </c>
      <c r="C810" s="4" t="s">
        <v>31</v>
      </c>
      <c r="E810" s="41">
        <v>16</v>
      </c>
      <c r="F810" s="41"/>
      <c r="G810" s="185"/>
      <c r="H810" s="179">
        <f>3412463-798973-H813-3414+14+1185266-3796027</f>
        <v>-98889</v>
      </c>
      <c r="I810" s="185"/>
      <c r="J810" s="179">
        <f>162+2503056+18-264609-16691-J813-1640948</f>
        <v>184069</v>
      </c>
      <c r="K810" s="179"/>
      <c r="L810" s="185"/>
      <c r="M810" s="179">
        <f>1680324-1800000+5955487+1863888-10311-M813-214646-1971937-4800000</f>
        <v>163519</v>
      </c>
    </row>
    <row r="811" spans="1:13" ht="12">
      <c r="A811" s="41">
        <v>17</v>
      </c>
      <c r="C811" s="4" t="s">
        <v>32</v>
      </c>
      <c r="E811" s="41">
        <v>17</v>
      </c>
      <c r="F811" s="41"/>
      <c r="G811" s="185"/>
      <c r="H811" s="179">
        <f>234088-234088</f>
        <v>0</v>
      </c>
      <c r="I811" s="185"/>
      <c r="J811" s="179">
        <v>0</v>
      </c>
      <c r="K811" s="179"/>
      <c r="L811" s="185"/>
      <c r="M811" s="179"/>
    </row>
    <row r="812" spans="1:17" ht="12">
      <c r="A812" s="41">
        <v>18</v>
      </c>
      <c r="C812" s="4"/>
      <c r="E812" s="41">
        <v>18</v>
      </c>
      <c r="F812" s="41"/>
      <c r="G812" s="185"/>
      <c r="H812" s="179"/>
      <c r="I812" s="185"/>
      <c r="J812" s="179"/>
      <c r="K812" s="179"/>
      <c r="L812" s="185"/>
      <c r="M812" s="179"/>
      <c r="Q812" s="378"/>
    </row>
    <row r="813" spans="1:13" ht="12">
      <c r="A813" s="41">
        <v>19</v>
      </c>
      <c r="C813" s="4" t="s">
        <v>42</v>
      </c>
      <c r="E813" s="41">
        <v>19</v>
      </c>
      <c r="F813" s="41"/>
      <c r="G813" s="185"/>
      <c r="H813" s="179">
        <v>98218</v>
      </c>
      <c r="I813" s="185"/>
      <c r="J813" s="179">
        <v>396919</v>
      </c>
      <c r="K813" s="179"/>
      <c r="L813" s="185"/>
      <c r="M813" s="179">
        <v>539286</v>
      </c>
    </row>
    <row r="814" spans="1:17" ht="12">
      <c r="A814" s="41">
        <v>20</v>
      </c>
      <c r="E814" s="41">
        <v>20</v>
      </c>
      <c r="F814" s="41"/>
      <c r="G814" s="18"/>
      <c r="H814" s="176"/>
      <c r="I814" s="18"/>
      <c r="J814" s="176"/>
      <c r="K814" s="176"/>
      <c r="L814" s="18"/>
      <c r="M814" s="176"/>
      <c r="O814" s="53"/>
      <c r="Q814" s="403"/>
    </row>
    <row r="815" spans="1:13" ht="12">
      <c r="A815" s="41">
        <v>21</v>
      </c>
      <c r="E815" s="41">
        <v>21</v>
      </c>
      <c r="F815" s="41"/>
      <c r="G815" s="18"/>
      <c r="H815" s="86"/>
      <c r="I815" s="18"/>
      <c r="J815" s="86"/>
      <c r="K815" s="176"/>
      <c r="L815" s="18"/>
      <c r="M815" s="86"/>
    </row>
    <row r="816" spans="1:13" ht="12">
      <c r="A816" s="41">
        <v>22</v>
      </c>
      <c r="E816" s="41">
        <v>22</v>
      </c>
      <c r="F816" s="41"/>
      <c r="G816" s="71"/>
      <c r="H816" s="86"/>
      <c r="I816" s="71"/>
      <c r="J816" s="86"/>
      <c r="L816" s="71"/>
      <c r="M816" s="86"/>
    </row>
    <row r="817" spans="1:13" ht="12">
      <c r="A817" s="41">
        <v>23</v>
      </c>
      <c r="D817" s="47"/>
      <c r="E817" s="41">
        <v>23</v>
      </c>
      <c r="F817" s="41"/>
      <c r="G817" s="207"/>
      <c r="H817" s="86"/>
      <c r="I817" s="207"/>
      <c r="J817" s="86"/>
      <c r="L817" s="207"/>
      <c r="M817" s="86"/>
    </row>
    <row r="818" spans="1:13" ht="12">
      <c r="A818" s="41">
        <v>24</v>
      </c>
      <c r="D818" s="47"/>
      <c r="E818" s="41">
        <v>24</v>
      </c>
      <c r="F818" s="41"/>
      <c r="G818" s="207"/>
      <c r="H818" s="86"/>
      <c r="I818" s="207"/>
      <c r="J818" s="86"/>
      <c r="L818" s="207"/>
      <c r="M818" s="86"/>
    </row>
    <row r="819" spans="7:14" ht="12">
      <c r="G819" s="18" t="s">
        <v>1</v>
      </c>
      <c r="H819" s="176" t="s">
        <v>1</v>
      </c>
      <c r="I819" s="18" t="s">
        <v>1</v>
      </c>
      <c r="J819" s="176" t="s">
        <v>1</v>
      </c>
      <c r="K819" s="176" t="s">
        <v>1</v>
      </c>
      <c r="L819" s="18" t="s">
        <v>1</v>
      </c>
      <c r="M819" s="176" t="s">
        <v>1</v>
      </c>
      <c r="N819" s="192"/>
    </row>
    <row r="820" spans="1:14" ht="12">
      <c r="A820" s="41">
        <v>25</v>
      </c>
      <c r="C820" s="4" t="s">
        <v>272</v>
      </c>
      <c r="E820" s="41">
        <v>25</v>
      </c>
      <c r="F820" s="41"/>
      <c r="G820" s="71">
        <f>SUM(G805:G816)</f>
        <v>86.83</v>
      </c>
      <c r="H820" s="86">
        <f>SUM(H805:H816)</f>
        <v>7171021</v>
      </c>
      <c r="I820" s="71">
        <f>SUM(I805:I816)</f>
        <v>69.9094855956065</v>
      </c>
      <c r="J820" s="86">
        <f>SUM(J805:J816)</f>
        <v>7127895</v>
      </c>
      <c r="L820" s="71">
        <f>SUM(L805:L816)</f>
        <v>82.81</v>
      </c>
      <c r="M820" s="86">
        <f>SUM(M805:M816)</f>
        <v>8082247</v>
      </c>
      <c r="N820" s="192"/>
    </row>
    <row r="821" spans="5:16" ht="12">
      <c r="E821" s="38"/>
      <c r="F821" s="38"/>
      <c r="G821" s="176" t="s">
        <v>1</v>
      </c>
      <c r="H821" s="176" t="s">
        <v>1</v>
      </c>
      <c r="I821" s="176" t="s">
        <v>1</v>
      </c>
      <c r="J821" s="176" t="s">
        <v>1</v>
      </c>
      <c r="K821" s="176" t="s">
        <v>1</v>
      </c>
      <c r="L821" s="176" t="s">
        <v>1</v>
      </c>
      <c r="M821" s="176" t="s">
        <v>1</v>
      </c>
      <c r="N821" s="192"/>
      <c r="P821" s="220"/>
    </row>
    <row r="822" ht="12">
      <c r="A822" s="4"/>
    </row>
    <row r="824" spans="1:16" s="21" customFormat="1" ht="12">
      <c r="A824" s="70" t="str">
        <f>$A$82</f>
        <v>Institution No.:  GFD</v>
      </c>
      <c r="E824" s="20"/>
      <c r="F824" s="20"/>
      <c r="G824" s="87"/>
      <c r="H824" s="87"/>
      <c r="I824" s="87"/>
      <c r="J824" s="87"/>
      <c r="K824" s="208"/>
      <c r="L824" s="87"/>
      <c r="M824" s="212" t="s">
        <v>44</v>
      </c>
      <c r="O824" s="375"/>
      <c r="P824" s="376"/>
    </row>
    <row r="825" spans="1:16" s="21" customFormat="1" ht="12">
      <c r="A825" s="434" t="s">
        <v>165</v>
      </c>
      <c r="B825" s="434"/>
      <c r="C825" s="434"/>
      <c r="D825" s="434"/>
      <c r="E825" s="434"/>
      <c r="F825" s="434"/>
      <c r="G825" s="434"/>
      <c r="H825" s="434"/>
      <c r="I825" s="434"/>
      <c r="J825" s="434"/>
      <c r="K825" s="434"/>
      <c r="L825" s="434"/>
      <c r="M825" s="434"/>
      <c r="O825" s="375"/>
      <c r="P825" s="376"/>
    </row>
    <row r="826" spans="1:13" ht="12">
      <c r="A826" s="70" t="str">
        <f>$A$84</f>
        <v>NAME: University of Colorado - Denver</v>
      </c>
      <c r="G826" s="217"/>
      <c r="H826" s="218"/>
      <c r="I826" s="218"/>
      <c r="J826" s="219"/>
      <c r="L826" s="86"/>
      <c r="M826" s="213" t="str">
        <f>$M$3</f>
        <v>Date: 10/1/2007</v>
      </c>
    </row>
    <row r="827" spans="1:13" ht="12">
      <c r="A827" s="15" t="s">
        <v>1</v>
      </c>
      <c r="B827" s="15" t="s">
        <v>1</v>
      </c>
      <c r="C827" s="15" t="s">
        <v>1</v>
      </c>
      <c r="D827" s="15" t="s">
        <v>1</v>
      </c>
      <c r="E827" s="15" t="s">
        <v>1</v>
      </c>
      <c r="F827" s="15"/>
      <c r="G827" s="176" t="s">
        <v>1</v>
      </c>
      <c r="H827" s="176" t="s">
        <v>1</v>
      </c>
      <c r="I827" s="176" t="s">
        <v>1</v>
      </c>
      <c r="J827" s="176" t="s">
        <v>1</v>
      </c>
      <c r="K827" s="176" t="s">
        <v>1</v>
      </c>
      <c r="L827" s="176" t="s">
        <v>1</v>
      </c>
      <c r="M827" s="176" t="s">
        <v>1</v>
      </c>
    </row>
    <row r="828" spans="1:13" ht="12">
      <c r="A828" s="73" t="s">
        <v>2</v>
      </c>
      <c r="E828" s="73" t="s">
        <v>2</v>
      </c>
      <c r="F828" s="73"/>
      <c r="G828" s="123"/>
      <c r="H828" s="123" t="str">
        <f>$H$86</f>
        <v>2005-06</v>
      </c>
      <c r="I828" s="86"/>
      <c r="J828" s="123" t="str">
        <f>$J$86</f>
        <v>2006-07</v>
      </c>
      <c r="L828" s="86"/>
      <c r="M828" s="123" t="str">
        <f>$M$86</f>
        <v>2007-08</v>
      </c>
    </row>
    <row r="829" spans="1:13" ht="12">
      <c r="A829" s="73" t="s">
        <v>4</v>
      </c>
      <c r="C829" s="74" t="s">
        <v>20</v>
      </c>
      <c r="E829" s="73" t="s">
        <v>4</v>
      </c>
      <c r="F829" s="73"/>
      <c r="G829" s="123" t="s">
        <v>6</v>
      </c>
      <c r="H829" s="123" t="s">
        <v>7</v>
      </c>
      <c r="I829" s="123" t="s">
        <v>6</v>
      </c>
      <c r="J829" s="123" t="s">
        <v>7</v>
      </c>
      <c r="K829" s="191"/>
      <c r="L829" s="123" t="s">
        <v>6</v>
      </c>
      <c r="M829" s="123" t="s">
        <v>8</v>
      </c>
    </row>
    <row r="830" spans="1:13" ht="12">
      <c r="A830" s="15" t="s">
        <v>1</v>
      </c>
      <c r="B830" s="15" t="s">
        <v>1</v>
      </c>
      <c r="C830" s="15" t="s">
        <v>1</v>
      </c>
      <c r="D830" s="15" t="s">
        <v>1</v>
      </c>
      <c r="E830" s="15" t="s">
        <v>1</v>
      </c>
      <c r="F830" s="15"/>
      <c r="G830" s="176" t="s">
        <v>1</v>
      </c>
      <c r="H830" s="176" t="s">
        <v>1</v>
      </c>
      <c r="I830" s="176" t="s">
        <v>1</v>
      </c>
      <c r="J830" s="176" t="s">
        <v>1</v>
      </c>
      <c r="K830" s="176" t="s">
        <v>1</v>
      </c>
      <c r="L830" s="176" t="s">
        <v>1</v>
      </c>
      <c r="M830" s="176" t="s">
        <v>1</v>
      </c>
    </row>
    <row r="831" spans="1:13" ht="12">
      <c r="A831" s="41">
        <v>1</v>
      </c>
      <c r="C831" s="4" t="s">
        <v>36</v>
      </c>
      <c r="E831" s="41">
        <v>1</v>
      </c>
      <c r="F831" s="41"/>
      <c r="G831" s="185">
        <v>2.95</v>
      </c>
      <c r="H831" s="179">
        <f>159538</f>
        <v>159538</v>
      </c>
      <c r="I831" s="185">
        <f>J831/55833</f>
        <v>2.7893897874017157</v>
      </c>
      <c r="J831" s="179">
        <v>155740</v>
      </c>
      <c r="K831" s="179"/>
      <c r="L831" s="185">
        <v>3.12</v>
      </c>
      <c r="M831" s="179">
        <f>413153-150000-80000</f>
        <v>183153</v>
      </c>
    </row>
    <row r="832" spans="1:13" ht="12">
      <c r="A832" s="41">
        <v>2</v>
      </c>
      <c r="C832" s="4" t="s">
        <v>37</v>
      </c>
      <c r="E832" s="41">
        <v>2</v>
      </c>
      <c r="F832" s="41"/>
      <c r="G832" s="185"/>
      <c r="H832" s="179">
        <f>31574-3577--3577</f>
        <v>31574</v>
      </c>
      <c r="I832" s="185"/>
      <c r="J832" s="179">
        <v>31535</v>
      </c>
      <c r="K832" s="179"/>
      <c r="L832" s="185"/>
      <c r="M832" s="179">
        <f>93724-50000</f>
        <v>43724</v>
      </c>
    </row>
    <row r="833" spans="1:13" ht="12">
      <c r="A833" s="41">
        <v>3</v>
      </c>
      <c r="E833" s="41">
        <v>3</v>
      </c>
      <c r="F833" s="41"/>
      <c r="G833" s="185"/>
      <c r="H833" s="179"/>
      <c r="I833" s="185"/>
      <c r="J833" s="179"/>
      <c r="K833" s="179"/>
      <c r="L833" s="185"/>
      <c r="M833" s="179"/>
    </row>
    <row r="834" spans="1:13" ht="12">
      <c r="A834" s="41">
        <v>4</v>
      </c>
      <c r="C834" s="4" t="s">
        <v>23</v>
      </c>
      <c r="E834" s="41">
        <v>4</v>
      </c>
      <c r="F834" s="41"/>
      <c r="G834" s="71">
        <f>G831</f>
        <v>2.95</v>
      </c>
      <c r="H834" s="179">
        <f>SUM(H831:H832)</f>
        <v>191112</v>
      </c>
      <c r="I834" s="71">
        <f>I831</f>
        <v>2.7893897874017157</v>
      </c>
      <c r="J834" s="179">
        <f>SUM(J831:J832)</f>
        <v>187275</v>
      </c>
      <c r="L834" s="71">
        <f>L831</f>
        <v>3.12</v>
      </c>
      <c r="M834" s="86">
        <f>SUM(M831:M832)</f>
        <v>226877</v>
      </c>
    </row>
    <row r="835" spans="1:13" ht="12">
      <c r="A835" s="41">
        <v>5</v>
      </c>
      <c r="E835" s="41">
        <v>5</v>
      </c>
      <c r="F835" s="41"/>
      <c r="G835" s="71"/>
      <c r="H835" s="179"/>
      <c r="I835" s="71"/>
      <c r="J835" s="179"/>
      <c r="L835" s="71"/>
      <c r="M835" s="86"/>
    </row>
    <row r="836" spans="1:13" ht="12">
      <c r="A836" s="41">
        <v>6</v>
      </c>
      <c r="E836" s="41">
        <v>6</v>
      </c>
      <c r="F836" s="41"/>
      <c r="G836" s="71"/>
      <c r="H836" s="179"/>
      <c r="I836" s="71"/>
      <c r="J836" s="179"/>
      <c r="L836" s="71"/>
      <c r="M836" s="86"/>
    </row>
    <row r="837" spans="1:13" ht="12">
      <c r="A837" s="41">
        <v>7</v>
      </c>
      <c r="C837" s="4" t="s">
        <v>25</v>
      </c>
      <c r="E837" s="41">
        <v>7</v>
      </c>
      <c r="F837" s="41"/>
      <c r="G837" s="185">
        <v>35.08</v>
      </c>
      <c r="H837" s="179">
        <f>1724113</f>
        <v>1724113</v>
      </c>
      <c r="I837" s="185">
        <f>J837/50513</f>
        <v>26.739433413180766</v>
      </c>
      <c r="J837" s="192">
        <v>1350689</v>
      </c>
      <c r="K837" s="179"/>
      <c r="L837" s="185">
        <v>29.09</v>
      </c>
      <c r="M837" s="192">
        <f>2013682-500000</f>
        <v>1513682</v>
      </c>
    </row>
    <row r="838" spans="1:13" ht="12">
      <c r="A838" s="41">
        <v>8</v>
      </c>
      <c r="C838" s="4" t="s">
        <v>26</v>
      </c>
      <c r="E838" s="41">
        <v>8</v>
      </c>
      <c r="F838" s="41"/>
      <c r="G838" s="185"/>
      <c r="H838" s="179">
        <f>344818--4003</f>
        <v>348821</v>
      </c>
      <c r="I838" s="185"/>
      <c r="J838" s="192">
        <v>296327</v>
      </c>
      <c r="K838" s="179"/>
      <c r="L838" s="185"/>
      <c r="M838" s="192">
        <f>518333-100000</f>
        <v>418333</v>
      </c>
    </row>
    <row r="839" spans="1:13" ht="12">
      <c r="A839" s="41">
        <v>9</v>
      </c>
      <c r="C839" s="4" t="s">
        <v>27</v>
      </c>
      <c r="E839" s="41">
        <v>9</v>
      </c>
      <c r="F839" s="41"/>
      <c r="G839" s="71">
        <f>G837</f>
        <v>35.08</v>
      </c>
      <c r="H839" s="179">
        <f>SUM(H837:H838)</f>
        <v>2072934</v>
      </c>
      <c r="I839" s="71">
        <f>I837</f>
        <v>26.739433413180766</v>
      </c>
      <c r="J839" s="179">
        <f>SUM(J837:J838)</f>
        <v>1647016</v>
      </c>
      <c r="L839" s="71">
        <f>L837</f>
        <v>29.09</v>
      </c>
      <c r="M839" s="86">
        <f>SUM(M837:M838)</f>
        <v>1932015</v>
      </c>
    </row>
    <row r="840" spans="1:13" ht="12">
      <c r="A840" s="41">
        <v>10</v>
      </c>
      <c r="E840" s="41">
        <v>10</v>
      </c>
      <c r="F840" s="41"/>
      <c r="G840" s="71"/>
      <c r="H840" s="179"/>
      <c r="I840" s="71"/>
      <c r="J840" s="179"/>
      <c r="L840" s="71"/>
      <c r="M840" s="86"/>
    </row>
    <row r="841" spans="1:13" ht="12">
      <c r="A841" s="41">
        <v>11</v>
      </c>
      <c r="C841" s="4" t="s">
        <v>28</v>
      </c>
      <c r="E841" s="41">
        <v>11</v>
      </c>
      <c r="F841" s="41"/>
      <c r="G841" s="71">
        <f>SUM(G839,G834)</f>
        <v>38.03</v>
      </c>
      <c r="H841" s="86">
        <f>SUM(H839,H834)</f>
        <v>2264046</v>
      </c>
      <c r="I841" s="71">
        <f>SUM(I839,I834)</f>
        <v>29.528823200582483</v>
      </c>
      <c r="J841" s="86">
        <f>SUM(J839,J834)</f>
        <v>1834291</v>
      </c>
      <c r="L841" s="71">
        <f>SUM(L839,L834)</f>
        <v>32.21</v>
      </c>
      <c r="M841" s="86">
        <f>SUM(M839,M834)</f>
        <v>2158892</v>
      </c>
    </row>
    <row r="842" spans="1:12" ht="12">
      <c r="A842" s="41">
        <v>12</v>
      </c>
      <c r="E842" s="41">
        <v>12</v>
      </c>
      <c r="F842" s="41"/>
      <c r="G842" s="207"/>
      <c r="I842" s="207"/>
      <c r="L842" s="207"/>
    </row>
    <row r="843" spans="1:13" ht="12">
      <c r="A843" s="41">
        <v>13</v>
      </c>
      <c r="C843" s="4" t="s">
        <v>38</v>
      </c>
      <c r="E843" s="41">
        <v>13</v>
      </c>
      <c r="F843" s="41"/>
      <c r="G843" s="185"/>
      <c r="H843" s="179">
        <f>7631+231</f>
        <v>7862</v>
      </c>
      <c r="I843" s="185"/>
      <c r="J843" s="179">
        <f>6543+18</f>
        <v>6561</v>
      </c>
      <c r="K843" s="179"/>
      <c r="L843" s="185"/>
      <c r="M843" s="179">
        <v>12043</v>
      </c>
    </row>
    <row r="844" spans="1:13" ht="12">
      <c r="A844" s="41">
        <v>14</v>
      </c>
      <c r="C844" s="4" t="s">
        <v>46</v>
      </c>
      <c r="E844" s="41">
        <v>14</v>
      </c>
      <c r="F844" s="41"/>
      <c r="G844" s="185"/>
      <c r="H844" s="179"/>
      <c r="I844" s="185"/>
      <c r="J844" s="179"/>
      <c r="K844" s="179"/>
      <c r="L844" s="185"/>
      <c r="M844" s="179"/>
    </row>
    <row r="845" spans="1:13" ht="12">
      <c r="A845" s="41">
        <v>15</v>
      </c>
      <c r="C845" s="4" t="s">
        <v>30</v>
      </c>
      <c r="E845" s="41">
        <v>15</v>
      </c>
      <c r="F845" s="41"/>
      <c r="G845" s="185"/>
      <c r="H845" s="179">
        <f>3304</f>
        <v>3304</v>
      </c>
      <c r="I845" s="185"/>
      <c r="J845" s="179">
        <v>4281</v>
      </c>
      <c r="K845" s="179"/>
      <c r="L845" s="185"/>
      <c r="M845" s="179">
        <v>0</v>
      </c>
    </row>
    <row r="846" spans="1:13" ht="12">
      <c r="A846" s="41">
        <v>16</v>
      </c>
      <c r="C846" s="4" t="s">
        <v>45</v>
      </c>
      <c r="E846" s="41">
        <v>16</v>
      </c>
      <c r="F846" s="41"/>
      <c r="G846" s="185"/>
      <c r="H846" s="179">
        <f>3930405-1478197</f>
        <v>2452208</v>
      </c>
      <c r="I846" s="185"/>
      <c r="J846" s="179">
        <f>2642210-870790</f>
        <v>1771420</v>
      </c>
      <c r="K846" s="179"/>
      <c r="L846" s="185"/>
      <c r="M846" s="179">
        <f>3602300-1020564-300000</f>
        <v>2281736</v>
      </c>
    </row>
    <row r="847" spans="1:13" ht="12">
      <c r="A847" s="41">
        <v>17</v>
      </c>
      <c r="C847" s="4" t="s">
        <v>31</v>
      </c>
      <c r="E847" s="41">
        <v>17</v>
      </c>
      <c r="F847" s="41"/>
      <c r="G847" s="185"/>
      <c r="H847" s="179">
        <f>13844+4606256-165655-H849+1</f>
        <v>293170</v>
      </c>
      <c r="I847" s="185"/>
      <c r="J847" s="179">
        <f>-3060+4552620-288625-548554-109910-J849</f>
        <v>-632863</v>
      </c>
      <c r="K847" s="179"/>
      <c r="L847" s="185"/>
      <c r="M847" s="179">
        <f>4500979+1372144-190000-5700-M849-15000-750000-300000</f>
        <v>244210</v>
      </c>
    </row>
    <row r="848" spans="1:13" ht="12">
      <c r="A848" s="41">
        <v>18</v>
      </c>
      <c r="C848" s="4" t="s">
        <v>32</v>
      </c>
      <c r="E848" s="41">
        <v>18</v>
      </c>
      <c r="F848" s="41"/>
      <c r="G848" s="185"/>
      <c r="H848" s="179"/>
      <c r="I848" s="185"/>
      <c r="J848" s="179"/>
      <c r="K848" s="179"/>
      <c r="L848" s="185"/>
      <c r="M848" s="179"/>
    </row>
    <row r="849" spans="1:13" ht="12">
      <c r="A849" s="41">
        <v>19</v>
      </c>
      <c r="C849" s="4" t="s">
        <v>42</v>
      </c>
      <c r="E849" s="41">
        <v>19</v>
      </c>
      <c r="F849" s="41"/>
      <c r="G849" s="185"/>
      <c r="H849" s="179">
        <v>4161276</v>
      </c>
      <c r="I849" s="185"/>
      <c r="J849" s="179">
        <v>4235334</v>
      </c>
      <c r="K849" s="179"/>
      <c r="L849" s="185"/>
      <c r="M849" s="179">
        <v>4368213</v>
      </c>
    </row>
    <row r="850" spans="1:13" ht="12">
      <c r="A850" s="41">
        <v>20</v>
      </c>
      <c r="E850" s="41">
        <v>20</v>
      </c>
      <c r="F850" s="41"/>
      <c r="G850" s="18"/>
      <c r="H850" s="176"/>
      <c r="I850" s="18"/>
      <c r="J850" s="176"/>
      <c r="K850" s="176"/>
      <c r="L850" s="18"/>
      <c r="M850" s="176"/>
    </row>
    <row r="851" spans="1:13" ht="12">
      <c r="A851" s="41">
        <v>24</v>
      </c>
      <c r="D851" s="47"/>
      <c r="E851" s="41">
        <v>24</v>
      </c>
      <c r="F851" s="41"/>
      <c r="G851" s="207"/>
      <c r="H851" s="86"/>
      <c r="I851" s="207"/>
      <c r="J851" s="86"/>
      <c r="L851" s="207"/>
      <c r="M851" s="86"/>
    </row>
    <row r="852" spans="7:14" ht="12">
      <c r="G852" s="18" t="s">
        <v>1</v>
      </c>
      <c r="H852" s="176" t="s">
        <v>1</v>
      </c>
      <c r="I852" s="18" t="s">
        <v>1</v>
      </c>
      <c r="J852" s="176" t="s">
        <v>1</v>
      </c>
      <c r="K852" s="176" t="s">
        <v>1</v>
      </c>
      <c r="L852" s="18" t="s">
        <v>1</v>
      </c>
      <c r="M852" s="176" t="s">
        <v>1</v>
      </c>
      <c r="N852" s="192"/>
    </row>
    <row r="853" spans="1:14" ht="12">
      <c r="A853" s="41">
        <v>25</v>
      </c>
      <c r="C853" s="4" t="s">
        <v>646</v>
      </c>
      <c r="E853" s="41">
        <v>25</v>
      </c>
      <c r="F853" s="41"/>
      <c r="G853" s="71">
        <f>SUM(G841:G850)</f>
        <v>38.03</v>
      </c>
      <c r="H853" s="86">
        <f>SUM(H841:H850)</f>
        <v>9181866</v>
      </c>
      <c r="I853" s="71">
        <f>SUM(I841:I850)</f>
        <v>29.528823200582483</v>
      </c>
      <c r="J853" s="86">
        <f>SUM(J841:J850)</f>
        <v>7219024</v>
      </c>
      <c r="L853" s="71">
        <f>SUM(L841:L850)</f>
        <v>32.21</v>
      </c>
      <c r="M853" s="86">
        <f>SUM(M841:M850)</f>
        <v>9065094</v>
      </c>
      <c r="N853" s="192"/>
    </row>
    <row r="854" spans="4:13" ht="11.25" customHeight="1">
      <c r="D854" s="47" t="s">
        <v>594</v>
      </c>
      <c r="G854" s="176" t="s">
        <v>1</v>
      </c>
      <c r="H854" s="176" t="s">
        <v>1</v>
      </c>
      <c r="I854" s="18" t="s">
        <v>1</v>
      </c>
      <c r="J854" s="176" t="s">
        <v>1</v>
      </c>
      <c r="K854" s="176" t="s">
        <v>1</v>
      </c>
      <c r="L854" s="18" t="s">
        <v>1</v>
      </c>
      <c r="M854" s="176" t="s">
        <v>1</v>
      </c>
    </row>
    <row r="855" spans="4:13" ht="12" hidden="1">
      <c r="D855" s="47"/>
      <c r="G855" s="176"/>
      <c r="H855" s="176"/>
      <c r="I855" s="176"/>
      <c r="J855" s="176"/>
      <c r="K855" s="176"/>
      <c r="L855" s="176"/>
      <c r="M855" s="176"/>
    </row>
    <row r="856" spans="1:12" ht="12">
      <c r="A856" s="41">
        <v>26</v>
      </c>
      <c r="C856" s="4" t="s">
        <v>47</v>
      </c>
      <c r="E856" s="41">
        <v>26</v>
      </c>
      <c r="F856" s="41"/>
      <c r="G856" s="86"/>
      <c r="H856" s="86"/>
      <c r="I856" s="86"/>
      <c r="J856" s="86"/>
      <c r="L856" s="86"/>
    </row>
    <row r="857" spans="1:13" ht="12">
      <c r="A857" s="41">
        <v>27</v>
      </c>
      <c r="C857" s="4" t="s">
        <v>48</v>
      </c>
      <c r="E857" s="41">
        <v>27</v>
      </c>
      <c r="F857" s="41"/>
      <c r="G857" s="179"/>
      <c r="H857" s="179">
        <v>302149</v>
      </c>
      <c r="I857" s="179"/>
      <c r="J857" s="179">
        <f>H867</f>
        <v>302149</v>
      </c>
      <c r="K857" s="179"/>
      <c r="L857" s="179"/>
      <c r="M857" s="179">
        <f>J867</f>
        <v>302149</v>
      </c>
    </row>
    <row r="858" spans="1:13" ht="12">
      <c r="A858" s="41">
        <v>28</v>
      </c>
      <c r="C858" s="4" t="s">
        <v>49</v>
      </c>
      <c r="E858" s="41">
        <v>28</v>
      </c>
      <c r="F858" s="41"/>
      <c r="G858" s="179"/>
      <c r="H858" s="179"/>
      <c r="I858" s="179"/>
      <c r="J858" s="179"/>
      <c r="K858" s="179"/>
      <c r="L858" s="179"/>
      <c r="M858" s="179">
        <v>0</v>
      </c>
    </row>
    <row r="859" spans="1:13" ht="12">
      <c r="A859" s="41">
        <v>29</v>
      </c>
      <c r="C859" s="27"/>
      <c r="E859" s="41">
        <v>29</v>
      </c>
      <c r="F859" s="41"/>
      <c r="G859" s="179"/>
      <c r="H859" s="179"/>
      <c r="I859" s="179"/>
      <c r="J859" s="179"/>
      <c r="K859" s="179"/>
      <c r="L859" s="179"/>
      <c r="M859" s="179">
        <v>0</v>
      </c>
    </row>
    <row r="860" spans="1:13" ht="12">
      <c r="A860" s="41">
        <v>30</v>
      </c>
      <c r="C860" s="27"/>
      <c r="E860" s="41">
        <v>30</v>
      </c>
      <c r="F860" s="41"/>
      <c r="G860" s="179"/>
      <c r="H860" s="179">
        <v>0</v>
      </c>
      <c r="I860" s="179"/>
      <c r="J860" s="179">
        <v>0</v>
      </c>
      <c r="K860" s="179"/>
      <c r="L860" s="179"/>
      <c r="M860" s="179">
        <v>0</v>
      </c>
    </row>
    <row r="861" spans="1:13" ht="12">
      <c r="A861" s="41">
        <f aca="true" t="shared" si="22" ref="A861:A869">(A860+1)</f>
        <v>31</v>
      </c>
      <c r="C861" s="27"/>
      <c r="E861" s="41">
        <f aca="true" t="shared" si="23" ref="E861:E869">(E860+1)</f>
        <v>31</v>
      </c>
      <c r="F861" s="41"/>
      <c r="G861" s="179"/>
      <c r="H861" s="179">
        <v>0</v>
      </c>
      <c r="I861" s="179"/>
      <c r="J861" s="179">
        <v>0</v>
      </c>
      <c r="K861" s="179"/>
      <c r="L861" s="179"/>
      <c r="M861" s="179">
        <v>0</v>
      </c>
    </row>
    <row r="862" spans="1:13" ht="12">
      <c r="A862" s="41">
        <f t="shared" si="22"/>
        <v>32</v>
      </c>
      <c r="C862" s="27"/>
      <c r="E862" s="41">
        <f t="shared" si="23"/>
        <v>32</v>
      </c>
      <c r="F862" s="41"/>
      <c r="G862" s="179"/>
      <c r="H862" s="179">
        <v>0</v>
      </c>
      <c r="I862" s="179"/>
      <c r="J862" s="179">
        <v>0</v>
      </c>
      <c r="K862" s="179"/>
      <c r="L862" s="179"/>
      <c r="M862" s="179">
        <v>0</v>
      </c>
    </row>
    <row r="863" spans="1:13" ht="12">
      <c r="A863" s="41">
        <f t="shared" si="22"/>
        <v>33</v>
      </c>
      <c r="C863" s="4" t="s">
        <v>50</v>
      </c>
      <c r="E863" s="41">
        <f t="shared" si="23"/>
        <v>33</v>
      </c>
      <c r="F863" s="41"/>
      <c r="G863" s="179"/>
      <c r="H863" s="179">
        <v>0</v>
      </c>
      <c r="I863" s="179"/>
      <c r="J863" s="179">
        <v>0</v>
      </c>
      <c r="K863" s="179"/>
      <c r="L863" s="179"/>
      <c r="M863" s="179">
        <v>0</v>
      </c>
    </row>
    <row r="864" spans="1:13" ht="12">
      <c r="A864" s="41">
        <f t="shared" si="22"/>
        <v>34</v>
      </c>
      <c r="C864" s="27" t="s">
        <v>595</v>
      </c>
      <c r="E864" s="41">
        <f t="shared" si="23"/>
        <v>34</v>
      </c>
      <c r="F864" s="41"/>
      <c r="G864" s="179"/>
      <c r="H864" s="179">
        <v>0</v>
      </c>
      <c r="I864" s="179"/>
      <c r="J864" s="179">
        <v>0</v>
      </c>
      <c r="K864" s="179"/>
      <c r="L864" s="179"/>
      <c r="M864" s="179">
        <v>0</v>
      </c>
    </row>
    <row r="865" spans="1:13" ht="12">
      <c r="A865" s="41">
        <f t="shared" si="22"/>
        <v>35</v>
      </c>
      <c r="C865" s="27" t="s">
        <v>596</v>
      </c>
      <c r="E865" s="41">
        <f t="shared" si="23"/>
        <v>35</v>
      </c>
      <c r="F865" s="41"/>
      <c r="G865" s="179"/>
      <c r="H865" s="179">
        <v>0</v>
      </c>
      <c r="I865" s="179"/>
      <c r="J865" s="179">
        <v>0</v>
      </c>
      <c r="K865" s="179"/>
      <c r="L865" s="179"/>
      <c r="M865" s="179">
        <v>0</v>
      </c>
    </row>
    <row r="866" spans="1:13" ht="12">
      <c r="A866" s="41">
        <f t="shared" si="22"/>
        <v>36</v>
      </c>
      <c r="C866" s="27" t="s">
        <v>597</v>
      </c>
      <c r="E866" s="41">
        <f t="shared" si="23"/>
        <v>36</v>
      </c>
      <c r="F866" s="41"/>
      <c r="G866" s="179"/>
      <c r="H866" s="179">
        <v>0</v>
      </c>
      <c r="I866" s="179"/>
      <c r="J866" s="179">
        <v>0</v>
      </c>
      <c r="K866" s="179"/>
      <c r="L866" s="179"/>
      <c r="M866" s="179">
        <v>0</v>
      </c>
    </row>
    <row r="867" spans="1:13" ht="12">
      <c r="A867" s="41">
        <f t="shared" si="22"/>
        <v>37</v>
      </c>
      <c r="C867" s="4" t="s">
        <v>51</v>
      </c>
      <c r="E867" s="41">
        <f t="shared" si="23"/>
        <v>37</v>
      </c>
      <c r="F867" s="41"/>
      <c r="G867" s="179"/>
      <c r="H867" s="86">
        <f>(SUM(H857,(SUM(H858:H862)),-(SUM(H863:H866))))</f>
        <v>302149</v>
      </c>
      <c r="I867" s="86"/>
      <c r="J867" s="86">
        <f>(SUM(J857,(SUM(J858:J862)),-(SUM(J863:J866))))</f>
        <v>302149</v>
      </c>
      <c r="K867" s="86"/>
      <c r="L867" s="86"/>
      <c r="M867" s="86">
        <f>(SUM(M857,(SUM(M858:M862)),-(SUM(M863:M866))))</f>
        <v>302149</v>
      </c>
    </row>
    <row r="868" spans="1:13" ht="12">
      <c r="A868" s="41">
        <f t="shared" si="22"/>
        <v>38</v>
      </c>
      <c r="E868" s="41">
        <f t="shared" si="23"/>
        <v>38</v>
      </c>
      <c r="F868" s="41"/>
      <c r="G868" s="179"/>
      <c r="I868" s="86"/>
      <c r="J868" s="179"/>
      <c r="K868" s="86"/>
      <c r="L868" s="86"/>
      <c r="M868" s="179"/>
    </row>
    <row r="869" spans="1:13" ht="12">
      <c r="A869" s="41">
        <f t="shared" si="22"/>
        <v>39</v>
      </c>
      <c r="C869" s="4" t="s">
        <v>52</v>
      </c>
      <c r="E869" s="41">
        <f t="shared" si="23"/>
        <v>39</v>
      </c>
      <c r="F869" s="41"/>
      <c r="G869" s="179"/>
      <c r="H869" s="192">
        <v>0</v>
      </c>
      <c r="I869" s="179"/>
      <c r="J869" s="179">
        <v>0</v>
      </c>
      <c r="K869" s="179"/>
      <c r="L869" s="179"/>
      <c r="M869" s="179">
        <v>0</v>
      </c>
    </row>
    <row r="870" spans="1:13" ht="0.75" customHeight="1">
      <c r="A870" s="41"/>
      <c r="C870" s="4"/>
      <c r="E870" s="41"/>
      <c r="F870" s="41"/>
      <c r="G870" s="179"/>
      <c r="I870" s="179"/>
      <c r="J870" s="179"/>
      <c r="K870" s="179"/>
      <c r="L870" s="179"/>
      <c r="M870" s="179"/>
    </row>
    <row r="871" spans="2:13" ht="12">
      <c r="B871" s="5" t="s">
        <v>598</v>
      </c>
      <c r="G871" s="179"/>
      <c r="I871" s="86"/>
      <c r="K871" s="86"/>
      <c r="L871" s="86"/>
      <c r="M871" s="86"/>
    </row>
    <row r="872" ht="12" hidden="1">
      <c r="A872" s="4"/>
    </row>
    <row r="873" ht="12" hidden="1">
      <c r="A873" s="4"/>
    </row>
    <row r="874" ht="12">
      <c r="A874" s="4"/>
    </row>
    <row r="875" spans="1:16" s="21" customFormat="1" ht="12">
      <c r="A875" s="70" t="str">
        <f>$A$82</f>
        <v>Institution No.:  GFD</v>
      </c>
      <c r="E875" s="20"/>
      <c r="F875" s="20"/>
      <c r="G875" s="87"/>
      <c r="H875" s="87"/>
      <c r="I875" s="87"/>
      <c r="J875" s="87"/>
      <c r="K875" s="208"/>
      <c r="L875" s="87"/>
      <c r="M875" s="212" t="s">
        <v>53</v>
      </c>
      <c r="O875" s="375"/>
      <c r="P875" s="376"/>
    </row>
    <row r="876" spans="1:16" s="21" customFormat="1" ht="12">
      <c r="A876" s="434" t="s">
        <v>166</v>
      </c>
      <c r="B876" s="434"/>
      <c r="C876" s="434"/>
      <c r="D876" s="434"/>
      <c r="E876" s="434"/>
      <c r="F876" s="434"/>
      <c r="G876" s="434"/>
      <c r="H876" s="434"/>
      <c r="I876" s="434"/>
      <c r="J876" s="434"/>
      <c r="K876" s="434"/>
      <c r="L876" s="434"/>
      <c r="M876" s="434"/>
      <c r="O876" s="375"/>
      <c r="P876" s="376"/>
    </row>
    <row r="877" spans="1:13" ht="12">
      <c r="A877" s="70" t="str">
        <f>$A$84</f>
        <v>NAME: University of Colorado - Denver</v>
      </c>
      <c r="G877" s="86"/>
      <c r="H877" s="217"/>
      <c r="I877" s="218"/>
      <c r="J877" s="219"/>
      <c r="L877" s="86"/>
      <c r="M877" s="213" t="str">
        <f>$M$3</f>
        <v>Date: 10/1/2007</v>
      </c>
    </row>
    <row r="878" spans="1:13" ht="12">
      <c r="A878" s="15" t="s">
        <v>1</v>
      </c>
      <c r="B878" s="15" t="s">
        <v>1</v>
      </c>
      <c r="C878" s="15" t="s">
        <v>1</v>
      </c>
      <c r="D878" s="15" t="s">
        <v>1</v>
      </c>
      <c r="E878" s="15" t="s">
        <v>1</v>
      </c>
      <c r="F878" s="15"/>
      <c r="G878" s="176" t="s">
        <v>1</v>
      </c>
      <c r="H878" s="176" t="s">
        <v>1</v>
      </c>
      <c r="I878" s="176" t="s">
        <v>1</v>
      </c>
      <c r="J878" s="176" t="s">
        <v>1</v>
      </c>
      <c r="K878" s="176" t="s">
        <v>1</v>
      </c>
      <c r="L878" s="176" t="s">
        <v>1</v>
      </c>
      <c r="M878" s="176" t="s">
        <v>1</v>
      </c>
    </row>
    <row r="879" spans="1:13" ht="12">
      <c r="A879" s="73" t="s">
        <v>2</v>
      </c>
      <c r="E879" s="73" t="s">
        <v>2</v>
      </c>
      <c r="F879" s="73"/>
      <c r="G879" s="86"/>
      <c r="H879" s="123" t="str">
        <f>$H$86</f>
        <v>2005-06</v>
      </c>
      <c r="I879" s="86"/>
      <c r="J879" s="123" t="str">
        <f>$J$86</f>
        <v>2006-07</v>
      </c>
      <c r="L879" s="86"/>
      <c r="M879" s="123" t="str">
        <f>$M$86</f>
        <v>2007-08</v>
      </c>
    </row>
    <row r="880" spans="1:13" ht="12">
      <c r="A880" s="73" t="s">
        <v>4</v>
      </c>
      <c r="C880" s="74" t="s">
        <v>20</v>
      </c>
      <c r="E880" s="73" t="s">
        <v>4</v>
      </c>
      <c r="F880" s="73"/>
      <c r="G880" s="86"/>
      <c r="H880" s="123" t="s">
        <v>7</v>
      </c>
      <c r="I880" s="86"/>
      <c r="J880" s="123" t="s">
        <v>7</v>
      </c>
      <c r="L880" s="86"/>
      <c r="M880" s="123" t="s">
        <v>8</v>
      </c>
    </row>
    <row r="881" spans="1:13" ht="12">
      <c r="A881" s="15" t="s">
        <v>1</v>
      </c>
      <c r="B881" s="15" t="s">
        <v>1</v>
      </c>
      <c r="C881" s="15" t="s">
        <v>1</v>
      </c>
      <c r="D881" s="15" t="s">
        <v>1</v>
      </c>
      <c r="E881" s="15" t="s">
        <v>1</v>
      </c>
      <c r="F881" s="15"/>
      <c r="G881" s="176" t="s">
        <v>1</v>
      </c>
      <c r="H881" s="176" t="s">
        <v>1</v>
      </c>
      <c r="I881" s="176" t="s">
        <v>1</v>
      </c>
      <c r="J881" s="176" t="s">
        <v>1</v>
      </c>
      <c r="K881" s="176" t="s">
        <v>1</v>
      </c>
      <c r="L881" s="176" t="s">
        <v>1</v>
      </c>
      <c r="M881" s="176" t="s">
        <v>1</v>
      </c>
    </row>
    <row r="882" spans="1:14" ht="12">
      <c r="A882" s="41">
        <v>1</v>
      </c>
      <c r="C882" s="4" t="s">
        <v>54</v>
      </c>
      <c r="E882" s="41">
        <v>1</v>
      </c>
      <c r="F882" s="41"/>
      <c r="G882" s="86"/>
      <c r="H882" s="192">
        <v>5039193</v>
      </c>
      <c r="J882" s="192">
        <f>695727+11666306+567494-8682928+144165+2794+421+5069</f>
        <v>4399048</v>
      </c>
      <c r="M882" s="192">
        <f>2084681+3684610+156516+4750</f>
        <v>5930557</v>
      </c>
      <c r="N882" s="17"/>
    </row>
    <row r="883" spans="1:16" ht="12">
      <c r="A883" s="41">
        <f aca="true" t="shared" si="24" ref="A883:A900">(A882+1)</f>
        <v>2</v>
      </c>
      <c r="C883" s="27"/>
      <c r="E883" s="41">
        <f aca="true" t="shared" si="25" ref="E883:E900">(E882+1)</f>
        <v>2</v>
      </c>
      <c r="F883" s="41"/>
      <c r="G883" s="86"/>
      <c r="H883" s="179"/>
      <c r="I883" s="179"/>
      <c r="J883" s="179"/>
      <c r="K883" s="179"/>
      <c r="L883" s="179"/>
      <c r="M883" s="179"/>
      <c r="P883" s="409"/>
    </row>
    <row r="884" spans="1:13" ht="12">
      <c r="A884" s="41">
        <f t="shared" si="24"/>
        <v>3</v>
      </c>
      <c r="C884" s="27"/>
      <c r="E884" s="41">
        <f t="shared" si="25"/>
        <v>3</v>
      </c>
      <c r="F884" s="41"/>
      <c r="G884" s="86"/>
      <c r="H884" s="179"/>
      <c r="I884" s="179"/>
      <c r="K884" s="179"/>
      <c r="L884" s="179"/>
      <c r="M884" s="179"/>
    </row>
    <row r="885" spans="1:13" ht="12">
      <c r="A885" s="41">
        <f t="shared" si="24"/>
        <v>4</v>
      </c>
      <c r="C885" s="27"/>
      <c r="E885" s="41">
        <f t="shared" si="25"/>
        <v>4</v>
      </c>
      <c r="F885" s="41"/>
      <c r="G885" s="86"/>
      <c r="H885" s="179"/>
      <c r="I885" s="179"/>
      <c r="J885" s="179"/>
      <c r="K885" s="179"/>
      <c r="L885" s="179"/>
      <c r="M885" s="179"/>
    </row>
    <row r="886" spans="1:13" ht="12">
      <c r="A886" s="41">
        <f t="shared" si="24"/>
        <v>5</v>
      </c>
      <c r="C886" s="27"/>
      <c r="E886" s="41">
        <f t="shared" si="25"/>
        <v>5</v>
      </c>
      <c r="F886" s="41"/>
      <c r="G886" s="86"/>
      <c r="H886" s="179"/>
      <c r="I886" s="179"/>
      <c r="J886" s="179"/>
      <c r="K886" s="179"/>
      <c r="L886" s="179"/>
      <c r="M886" s="179"/>
    </row>
    <row r="887" spans="1:13" ht="12">
      <c r="A887" s="41">
        <f t="shared" si="24"/>
        <v>6</v>
      </c>
      <c r="C887" s="27"/>
      <c r="E887" s="41">
        <f t="shared" si="25"/>
        <v>6</v>
      </c>
      <c r="F887" s="41"/>
      <c r="G887" s="86"/>
      <c r="H887" s="179"/>
      <c r="I887" s="179"/>
      <c r="J887" s="179"/>
      <c r="K887" s="179"/>
      <c r="L887" s="179"/>
      <c r="M887" s="179"/>
    </row>
    <row r="888" spans="1:13" ht="12">
      <c r="A888" s="41">
        <f t="shared" si="24"/>
        <v>7</v>
      </c>
      <c r="C888" s="27"/>
      <c r="E888" s="41">
        <f t="shared" si="25"/>
        <v>7</v>
      </c>
      <c r="F888" s="41"/>
      <c r="G888" s="86"/>
      <c r="H888" s="179"/>
      <c r="I888" s="179"/>
      <c r="J888" s="179"/>
      <c r="K888" s="179"/>
      <c r="L888" s="179"/>
      <c r="M888" s="179"/>
    </row>
    <row r="889" spans="1:13" ht="12">
      <c r="A889" s="41">
        <f t="shared" si="24"/>
        <v>8</v>
      </c>
      <c r="C889" s="27"/>
      <c r="E889" s="41">
        <f t="shared" si="25"/>
        <v>8</v>
      </c>
      <c r="F889" s="41"/>
      <c r="G889" s="86"/>
      <c r="H889" s="179"/>
      <c r="I889" s="179"/>
      <c r="J889" s="179"/>
      <c r="K889" s="179"/>
      <c r="L889" s="179"/>
      <c r="M889" s="179"/>
    </row>
    <row r="890" spans="1:13" ht="12">
      <c r="A890" s="41">
        <f t="shared" si="24"/>
        <v>9</v>
      </c>
      <c r="C890" s="27"/>
      <c r="E890" s="41">
        <f t="shared" si="25"/>
        <v>9</v>
      </c>
      <c r="F890" s="41"/>
      <c r="G890" s="86"/>
      <c r="H890" s="179"/>
      <c r="I890" s="179"/>
      <c r="J890" s="179"/>
      <c r="K890" s="179"/>
      <c r="L890" s="179"/>
      <c r="M890" s="179"/>
    </row>
    <row r="891" spans="1:13" ht="12">
      <c r="A891" s="41">
        <f t="shared" si="24"/>
        <v>10</v>
      </c>
      <c r="C891" s="27"/>
      <c r="E891" s="41">
        <f t="shared" si="25"/>
        <v>10</v>
      </c>
      <c r="F891" s="41"/>
      <c r="G891" s="86"/>
      <c r="H891" s="179"/>
      <c r="I891" s="179"/>
      <c r="J891" s="179"/>
      <c r="K891" s="179"/>
      <c r="L891" s="179"/>
      <c r="M891" s="179"/>
    </row>
    <row r="892" spans="1:13" ht="12">
      <c r="A892" s="41">
        <f t="shared" si="24"/>
        <v>11</v>
      </c>
      <c r="C892" s="27"/>
      <c r="E892" s="41">
        <f t="shared" si="25"/>
        <v>11</v>
      </c>
      <c r="F892" s="41"/>
      <c r="G892" s="86"/>
      <c r="H892" s="179"/>
      <c r="I892" s="179"/>
      <c r="J892" s="179"/>
      <c r="K892" s="179"/>
      <c r="L892" s="179"/>
      <c r="M892" s="179"/>
    </row>
    <row r="893" spans="1:13" ht="12">
      <c r="A893" s="41">
        <f t="shared" si="24"/>
        <v>12</v>
      </c>
      <c r="C893" s="27"/>
      <c r="E893" s="41">
        <f t="shared" si="25"/>
        <v>12</v>
      </c>
      <c r="F893" s="41"/>
      <c r="G893" s="86"/>
      <c r="H893" s="179"/>
      <c r="I893" s="179"/>
      <c r="J893" s="179"/>
      <c r="K893" s="179"/>
      <c r="L893" s="179"/>
      <c r="M893" s="179"/>
    </row>
    <row r="894" spans="1:13" ht="12">
      <c r="A894" s="41">
        <f t="shared" si="24"/>
        <v>13</v>
      </c>
      <c r="C894" s="27"/>
      <c r="E894" s="41">
        <f t="shared" si="25"/>
        <v>13</v>
      </c>
      <c r="F894" s="41"/>
      <c r="G894" s="86"/>
      <c r="H894" s="179"/>
      <c r="I894" s="179"/>
      <c r="J894" s="179"/>
      <c r="K894" s="179"/>
      <c r="L894" s="179"/>
      <c r="M894" s="179"/>
    </row>
    <row r="895" spans="1:13" ht="12">
      <c r="A895" s="41">
        <f t="shared" si="24"/>
        <v>14</v>
      </c>
      <c r="C895" s="27"/>
      <c r="E895" s="41">
        <f t="shared" si="25"/>
        <v>14</v>
      </c>
      <c r="F895" s="41"/>
      <c r="G895" s="86"/>
      <c r="H895" s="179"/>
      <c r="I895" s="179"/>
      <c r="J895" s="179"/>
      <c r="K895" s="179"/>
      <c r="L895" s="179"/>
      <c r="M895" s="179"/>
    </row>
    <row r="896" spans="1:13" ht="12">
      <c r="A896" s="41">
        <f t="shared" si="24"/>
        <v>15</v>
      </c>
      <c r="C896" s="27"/>
      <c r="E896" s="41">
        <f t="shared" si="25"/>
        <v>15</v>
      </c>
      <c r="F896" s="41"/>
      <c r="G896" s="86"/>
      <c r="H896" s="179"/>
      <c r="I896" s="179"/>
      <c r="J896" s="179"/>
      <c r="K896" s="179"/>
      <c r="L896" s="179"/>
      <c r="M896" s="179"/>
    </row>
    <row r="897" spans="1:13" ht="12">
      <c r="A897" s="41">
        <f t="shared" si="24"/>
        <v>16</v>
      </c>
      <c r="C897" s="27"/>
      <c r="E897" s="41">
        <f t="shared" si="25"/>
        <v>16</v>
      </c>
      <c r="F897" s="41"/>
      <c r="G897" s="86"/>
      <c r="H897" s="179"/>
      <c r="I897" s="179"/>
      <c r="J897" s="179"/>
      <c r="K897" s="179"/>
      <c r="L897" s="179"/>
      <c r="M897" s="179"/>
    </row>
    <row r="898" spans="1:13" ht="12">
      <c r="A898" s="41">
        <f t="shared" si="24"/>
        <v>17</v>
      </c>
      <c r="C898" s="27"/>
      <c r="E898" s="41">
        <f t="shared" si="25"/>
        <v>17</v>
      </c>
      <c r="F898" s="41"/>
      <c r="G898" s="86"/>
      <c r="H898" s="179"/>
      <c r="I898" s="179"/>
      <c r="J898" s="179"/>
      <c r="K898" s="179"/>
      <c r="L898" s="179"/>
      <c r="M898" s="179"/>
    </row>
    <row r="899" spans="1:13" ht="12">
      <c r="A899" s="41">
        <f t="shared" si="24"/>
        <v>18</v>
      </c>
      <c r="C899" s="27"/>
      <c r="E899" s="41">
        <f t="shared" si="25"/>
        <v>18</v>
      </c>
      <c r="F899" s="41"/>
      <c r="G899" s="86"/>
      <c r="H899" s="179"/>
      <c r="I899" s="179"/>
      <c r="J899" s="179"/>
      <c r="K899" s="179"/>
      <c r="L899" s="179"/>
      <c r="M899" s="179"/>
    </row>
    <row r="900" spans="1:13" ht="12">
      <c r="A900" s="41">
        <f t="shared" si="24"/>
        <v>19</v>
      </c>
      <c r="C900" s="27"/>
      <c r="E900" s="41">
        <f t="shared" si="25"/>
        <v>19</v>
      </c>
      <c r="F900" s="41"/>
      <c r="G900" s="86"/>
      <c r="H900" s="179"/>
      <c r="I900" s="179"/>
      <c r="J900" s="179"/>
      <c r="K900" s="179"/>
      <c r="L900" s="179"/>
      <c r="M900" s="179"/>
    </row>
    <row r="901" spans="1:13" ht="12">
      <c r="A901" s="41">
        <v>20</v>
      </c>
      <c r="E901" s="41">
        <v>20</v>
      </c>
      <c r="F901" s="41"/>
      <c r="G901" s="176"/>
      <c r="H901" s="176"/>
      <c r="I901" s="176"/>
      <c r="J901" s="176"/>
      <c r="K901" s="176"/>
      <c r="L901" s="176"/>
      <c r="M901" s="176"/>
    </row>
    <row r="902" spans="1:13" ht="12">
      <c r="A902" s="41">
        <v>21</v>
      </c>
      <c r="E902" s="41">
        <v>21</v>
      </c>
      <c r="F902" s="41"/>
      <c r="H902" s="86"/>
      <c r="I902" s="176"/>
      <c r="J902" s="86"/>
      <c r="K902" s="176"/>
      <c r="L902" s="176"/>
      <c r="M902" s="86"/>
    </row>
    <row r="903" spans="1:13" ht="12">
      <c r="A903" s="41">
        <v>22</v>
      </c>
      <c r="E903" s="41">
        <v>22</v>
      </c>
      <c r="F903" s="41"/>
      <c r="H903" s="86"/>
      <c r="I903" s="86"/>
      <c r="J903" s="86"/>
      <c r="L903" s="86"/>
      <c r="M903" s="86"/>
    </row>
    <row r="904" spans="1:13" ht="12">
      <c r="A904" s="41">
        <v>23</v>
      </c>
      <c r="D904" s="47"/>
      <c r="E904" s="41">
        <v>23</v>
      </c>
      <c r="F904" s="41"/>
      <c r="H904" s="86"/>
      <c r="J904" s="86"/>
      <c r="M904" s="86"/>
    </row>
    <row r="905" spans="1:13" ht="12">
      <c r="A905" s="41">
        <v>24</v>
      </c>
      <c r="D905" s="47"/>
      <c r="E905" s="41">
        <v>24</v>
      </c>
      <c r="F905" s="41"/>
      <c r="H905" s="86"/>
      <c r="J905" s="86"/>
      <c r="M905" s="86"/>
    </row>
    <row r="906" spans="7:13" ht="12">
      <c r="G906" s="176" t="s">
        <v>1</v>
      </c>
      <c r="H906" s="176" t="s">
        <v>1</v>
      </c>
      <c r="I906" s="176" t="s">
        <v>1</v>
      </c>
      <c r="J906" s="176" t="s">
        <v>1</v>
      </c>
      <c r="K906" s="176" t="s">
        <v>1</v>
      </c>
      <c r="L906" s="176" t="s">
        <v>1</v>
      </c>
      <c r="M906" s="176" t="s">
        <v>1</v>
      </c>
    </row>
    <row r="907" spans="1:13" ht="12">
      <c r="A907" s="41">
        <v>25</v>
      </c>
      <c r="C907" s="4" t="s">
        <v>273</v>
      </c>
      <c r="E907" s="41">
        <v>25</v>
      </c>
      <c r="F907" s="41"/>
      <c r="G907" s="86"/>
      <c r="H907" s="86">
        <f>SUM(H882:H905)</f>
        <v>5039193</v>
      </c>
      <c r="I907" s="86"/>
      <c r="J907" s="86">
        <f>SUM(J882:J905)</f>
        <v>4399048</v>
      </c>
      <c r="L907" s="86"/>
      <c r="M907" s="86">
        <f>SUM(M882:M905)</f>
        <v>5930557</v>
      </c>
    </row>
    <row r="908" spans="4:13" ht="12">
      <c r="D908" s="47"/>
      <c r="G908" s="176" t="s">
        <v>1</v>
      </c>
      <c r="H908" s="176" t="s">
        <v>1</v>
      </c>
      <c r="I908" s="176" t="s">
        <v>1</v>
      </c>
      <c r="J908" s="176" t="s">
        <v>1</v>
      </c>
      <c r="K908" s="176" t="s">
        <v>1</v>
      </c>
      <c r="L908" s="176" t="s">
        <v>1</v>
      </c>
      <c r="M908" s="176" t="s">
        <v>1</v>
      </c>
    </row>
    <row r="909" spans="7:13" ht="12">
      <c r="G909" s="176"/>
      <c r="H909" s="86"/>
      <c r="I909" s="176"/>
      <c r="J909" s="176"/>
      <c r="K909" s="176"/>
      <c r="L909" s="176"/>
      <c r="M909" s="176"/>
    </row>
    <row r="910" spans="7:13" ht="12">
      <c r="G910" s="86"/>
      <c r="H910" s="86"/>
      <c r="I910" s="86"/>
      <c r="J910" s="86"/>
      <c r="L910" s="86"/>
      <c r="M910" s="86"/>
    </row>
    <row r="911" spans="1:13" ht="12">
      <c r="A911" s="5">
        <v>26</v>
      </c>
      <c r="C911" s="5" t="s">
        <v>171</v>
      </c>
      <c r="E911" s="5">
        <v>26</v>
      </c>
      <c r="G911" s="86"/>
      <c r="H911" s="86">
        <f>H119</f>
        <v>11913278</v>
      </c>
      <c r="I911" s="86"/>
      <c r="J911" s="86">
        <f>+J415</f>
        <v>12233800</v>
      </c>
      <c r="L911" s="86"/>
      <c r="M911" s="86">
        <f>M119</f>
        <v>12997554</v>
      </c>
    </row>
    <row r="912" ht="12">
      <c r="A912" s="4"/>
    </row>
    <row r="914" spans="1:16" s="21" customFormat="1" ht="12">
      <c r="A914" s="70" t="str">
        <f>$A$82</f>
        <v>Institution No.:  GFD</v>
      </c>
      <c r="E914" s="20"/>
      <c r="F914" s="20"/>
      <c r="G914" s="87"/>
      <c r="H914" s="87"/>
      <c r="I914" s="87"/>
      <c r="J914" s="87"/>
      <c r="K914" s="208"/>
      <c r="L914" s="87"/>
      <c r="M914" s="212" t="s">
        <v>55</v>
      </c>
      <c r="O914" s="375"/>
      <c r="P914" s="376"/>
    </row>
    <row r="915" spans="1:16" s="21" customFormat="1" ht="12">
      <c r="A915" s="434" t="s">
        <v>167</v>
      </c>
      <c r="B915" s="434"/>
      <c r="C915" s="434"/>
      <c r="D915" s="434"/>
      <c r="E915" s="434"/>
      <c r="F915" s="434"/>
      <c r="G915" s="434"/>
      <c r="H915" s="434"/>
      <c r="I915" s="434"/>
      <c r="J915" s="434"/>
      <c r="K915" s="434"/>
      <c r="L915" s="434"/>
      <c r="M915" s="434"/>
      <c r="O915" s="375"/>
      <c r="P915" s="376"/>
    </row>
    <row r="916" spans="1:13" ht="12">
      <c r="A916" s="70" t="str">
        <f>$A$84</f>
        <v>NAME: University of Colorado - Denver</v>
      </c>
      <c r="G916" s="86"/>
      <c r="I916" s="224"/>
      <c r="J916" s="86"/>
      <c r="L916" s="86"/>
      <c r="M916" s="213" t="str">
        <f>$M$3</f>
        <v>Date: 10/1/2007</v>
      </c>
    </row>
    <row r="917" spans="1:13" ht="12">
      <c r="A917" s="15" t="s">
        <v>1</v>
      </c>
      <c r="B917" s="15" t="s">
        <v>1</v>
      </c>
      <c r="C917" s="15" t="s">
        <v>1</v>
      </c>
      <c r="D917" s="15" t="s">
        <v>1</v>
      </c>
      <c r="E917" s="15" t="s">
        <v>1</v>
      </c>
      <c r="F917" s="15"/>
      <c r="G917" s="176" t="s">
        <v>1</v>
      </c>
      <c r="H917" s="176" t="s">
        <v>1</v>
      </c>
      <c r="I917" s="176" t="s">
        <v>1</v>
      </c>
      <c r="J917" s="176" t="s">
        <v>1</v>
      </c>
      <c r="K917" s="176" t="s">
        <v>1</v>
      </c>
      <c r="L917" s="176" t="s">
        <v>1</v>
      </c>
      <c r="M917" s="176" t="s">
        <v>1</v>
      </c>
    </row>
    <row r="918" spans="1:13" ht="12">
      <c r="A918" s="73" t="s">
        <v>2</v>
      </c>
      <c r="E918" s="73" t="s">
        <v>2</v>
      </c>
      <c r="F918" s="73"/>
      <c r="G918" s="123"/>
      <c r="H918" s="123" t="str">
        <f>$H$86</f>
        <v>2005-06</v>
      </c>
      <c r="I918" s="86"/>
      <c r="J918" s="123" t="str">
        <f>$J$86</f>
        <v>2006-07</v>
      </c>
      <c r="L918" s="86"/>
      <c r="M918" s="123" t="str">
        <f>$M$86</f>
        <v>2007-08</v>
      </c>
    </row>
    <row r="919" spans="1:13" ht="12">
      <c r="A919" s="73" t="s">
        <v>4</v>
      </c>
      <c r="C919" s="74" t="s">
        <v>20</v>
      </c>
      <c r="E919" s="73" t="s">
        <v>4</v>
      </c>
      <c r="F919" s="73"/>
      <c r="G919" s="123" t="s">
        <v>21</v>
      </c>
      <c r="H919" s="123" t="s">
        <v>7</v>
      </c>
      <c r="I919" s="123" t="s">
        <v>21</v>
      </c>
      <c r="J919" s="123" t="s">
        <v>7</v>
      </c>
      <c r="K919" s="191"/>
      <c r="L919" s="123" t="s">
        <v>21</v>
      </c>
      <c r="M919" s="123" t="s">
        <v>8</v>
      </c>
    </row>
    <row r="920" spans="1:13" ht="12">
      <c r="A920" s="15" t="s">
        <v>1</v>
      </c>
      <c r="B920" s="15" t="s">
        <v>1</v>
      </c>
      <c r="C920" s="15" t="s">
        <v>1</v>
      </c>
      <c r="D920" s="15" t="s">
        <v>1</v>
      </c>
      <c r="E920" s="15" t="s">
        <v>1</v>
      </c>
      <c r="F920" s="15"/>
      <c r="G920" s="176" t="s">
        <v>1</v>
      </c>
      <c r="H920" s="176" t="s">
        <v>1</v>
      </c>
      <c r="I920" s="176" t="s">
        <v>1</v>
      </c>
      <c r="J920" s="176" t="s">
        <v>1</v>
      </c>
      <c r="K920" s="176" t="s">
        <v>1</v>
      </c>
      <c r="L920" s="176" t="s">
        <v>1</v>
      </c>
      <c r="M920" s="176" t="s">
        <v>1</v>
      </c>
    </row>
    <row r="921" spans="1:13" ht="12">
      <c r="A921" s="41">
        <v>1</v>
      </c>
      <c r="C921" s="4" t="s">
        <v>36</v>
      </c>
      <c r="E921" s="41">
        <v>1</v>
      </c>
      <c r="F921" s="41"/>
      <c r="G921" s="179">
        <v>0</v>
      </c>
      <c r="H921" s="179">
        <v>0</v>
      </c>
      <c r="I921" s="179">
        <v>0</v>
      </c>
      <c r="J921" s="179">
        <v>0</v>
      </c>
      <c r="K921" s="179"/>
      <c r="L921" s="179">
        <v>0</v>
      </c>
      <c r="M921" s="179">
        <v>0</v>
      </c>
    </row>
    <row r="922" spans="1:13" ht="12">
      <c r="A922" s="41">
        <v>2</v>
      </c>
      <c r="C922" s="4" t="s">
        <v>37</v>
      </c>
      <c r="E922" s="41">
        <v>2</v>
      </c>
      <c r="F922" s="41"/>
      <c r="G922" s="179"/>
      <c r="H922" s="179">
        <v>0</v>
      </c>
      <c r="I922" s="179"/>
      <c r="J922" s="179">
        <v>0</v>
      </c>
      <c r="K922" s="179"/>
      <c r="L922" s="179"/>
      <c r="M922" s="179">
        <v>0</v>
      </c>
    </row>
    <row r="923" spans="1:13" ht="12">
      <c r="A923" s="41">
        <v>3</v>
      </c>
      <c r="E923" s="41">
        <v>3</v>
      </c>
      <c r="F923" s="41"/>
      <c r="G923" s="179"/>
      <c r="H923" s="179"/>
      <c r="I923" s="179"/>
      <c r="J923" s="179"/>
      <c r="K923" s="179"/>
      <c r="L923" s="179"/>
      <c r="M923" s="179"/>
    </row>
    <row r="924" spans="1:13" ht="12">
      <c r="A924" s="41">
        <v>4</v>
      </c>
      <c r="C924" s="4" t="s">
        <v>23</v>
      </c>
      <c r="E924" s="41">
        <v>4</v>
      </c>
      <c r="F924" s="41"/>
      <c r="G924" s="86">
        <f>G921</f>
        <v>0</v>
      </c>
      <c r="H924" s="86">
        <f>SUM(H921:H922)</f>
        <v>0</v>
      </c>
      <c r="I924" s="86">
        <f>I921</f>
        <v>0</v>
      </c>
      <c r="J924" s="86">
        <f>SUM(J921:J922)</f>
        <v>0</v>
      </c>
      <c r="L924" s="86">
        <f>L921</f>
        <v>0</v>
      </c>
      <c r="M924" s="86">
        <f>SUM(M921:M922)</f>
        <v>0</v>
      </c>
    </row>
    <row r="925" spans="1:13" ht="12">
      <c r="A925" s="41">
        <v>5</v>
      </c>
      <c r="E925" s="41">
        <v>5</v>
      </c>
      <c r="F925" s="41"/>
      <c r="G925" s="86"/>
      <c r="H925" s="86"/>
      <c r="I925" s="86"/>
      <c r="J925" s="86"/>
      <c r="L925" s="86"/>
      <c r="M925" s="86"/>
    </row>
    <row r="926" spans="1:13" ht="12">
      <c r="A926" s="41">
        <v>6</v>
      </c>
      <c r="E926" s="41">
        <v>6</v>
      </c>
      <c r="F926" s="41"/>
      <c r="G926" s="86"/>
      <c r="H926" s="86"/>
      <c r="I926" s="86"/>
      <c r="J926" s="86"/>
      <c r="L926" s="86"/>
      <c r="M926" s="86"/>
    </row>
    <row r="927" spans="1:13" ht="12">
      <c r="A927" s="41">
        <v>7</v>
      </c>
      <c r="C927" s="4" t="s">
        <v>25</v>
      </c>
      <c r="E927" s="41">
        <v>7</v>
      </c>
      <c r="F927" s="41"/>
      <c r="G927" s="179">
        <v>0</v>
      </c>
      <c r="H927" s="179">
        <v>0</v>
      </c>
      <c r="I927" s="179">
        <v>0</v>
      </c>
      <c r="J927" s="179">
        <v>0</v>
      </c>
      <c r="K927" s="179"/>
      <c r="L927" s="179">
        <v>0</v>
      </c>
      <c r="M927" s="179">
        <v>0</v>
      </c>
    </row>
    <row r="928" spans="1:13" ht="12">
      <c r="A928" s="41">
        <v>8</v>
      </c>
      <c r="C928" s="4" t="s">
        <v>26</v>
      </c>
      <c r="E928" s="41">
        <v>8</v>
      </c>
      <c r="F928" s="41"/>
      <c r="G928" s="179"/>
      <c r="H928" s="179">
        <v>0</v>
      </c>
      <c r="I928" s="179"/>
      <c r="J928" s="179">
        <v>0</v>
      </c>
      <c r="K928" s="179"/>
      <c r="L928" s="179"/>
      <c r="M928" s="179">
        <v>0</v>
      </c>
    </row>
    <row r="929" spans="1:13" ht="12">
      <c r="A929" s="41">
        <v>9</v>
      </c>
      <c r="C929" s="4" t="s">
        <v>27</v>
      </c>
      <c r="E929" s="41">
        <v>9</v>
      </c>
      <c r="F929" s="41"/>
      <c r="G929" s="86">
        <f>G927</f>
        <v>0</v>
      </c>
      <c r="H929" s="86">
        <f>SUM(H927:H928)</f>
        <v>0</v>
      </c>
      <c r="I929" s="86">
        <f>I927</f>
        <v>0</v>
      </c>
      <c r="J929" s="86">
        <f>SUM(J927:J928)</f>
        <v>0</v>
      </c>
      <c r="L929" s="86">
        <f>L927</f>
        <v>0</v>
      </c>
      <c r="M929" s="86">
        <f>SUM(M927:M928)</f>
        <v>0</v>
      </c>
    </row>
    <row r="930" spans="1:13" ht="12">
      <c r="A930" s="41">
        <v>10</v>
      </c>
      <c r="E930" s="41">
        <v>10</v>
      </c>
      <c r="F930" s="41"/>
      <c r="G930" s="86"/>
      <c r="H930" s="86"/>
      <c r="I930" s="86"/>
      <c r="J930" s="86"/>
      <c r="L930" s="86"/>
      <c r="M930" s="86"/>
    </row>
    <row r="931" spans="1:13" ht="12">
      <c r="A931" s="41">
        <v>11</v>
      </c>
      <c r="C931" s="4" t="s">
        <v>28</v>
      </c>
      <c r="E931" s="41">
        <v>11</v>
      </c>
      <c r="F931" s="41"/>
      <c r="G931" s="86">
        <f>SUM(G929,G924)</f>
        <v>0</v>
      </c>
      <c r="H931" s="86">
        <f>SUM(H929,H924)</f>
        <v>0</v>
      </c>
      <c r="I931" s="86">
        <f>SUM(I929,I924)</f>
        <v>0</v>
      </c>
      <c r="J931" s="86">
        <f>SUM(J929,J924)</f>
        <v>0</v>
      </c>
      <c r="L931" s="86">
        <f>SUM(L929,L924)</f>
        <v>0</v>
      </c>
      <c r="M931" s="86">
        <f>SUM(M929,M924)</f>
        <v>0</v>
      </c>
    </row>
    <row r="932" spans="1:6" ht="12">
      <c r="A932" s="41">
        <v>12</v>
      </c>
      <c r="E932" s="41">
        <v>12</v>
      </c>
      <c r="F932" s="41"/>
    </row>
    <row r="933" spans="1:13" ht="12">
      <c r="A933" s="41">
        <v>13</v>
      </c>
      <c r="C933" s="4" t="s">
        <v>38</v>
      </c>
      <c r="E933" s="41">
        <v>13</v>
      </c>
      <c r="F933" s="41"/>
      <c r="G933" s="179"/>
      <c r="H933" s="179">
        <v>0</v>
      </c>
      <c r="I933" s="179"/>
      <c r="J933" s="179">
        <v>0</v>
      </c>
      <c r="K933" s="179"/>
      <c r="L933" s="179"/>
      <c r="M933" s="179">
        <v>0</v>
      </c>
    </row>
    <row r="934" spans="1:13" ht="12">
      <c r="A934" s="41">
        <v>14</v>
      </c>
      <c r="E934" s="41">
        <v>14</v>
      </c>
      <c r="F934" s="41"/>
      <c r="G934" s="179"/>
      <c r="H934" s="179"/>
      <c r="I934" s="179"/>
      <c r="J934" s="179"/>
      <c r="K934" s="179"/>
      <c r="L934" s="179"/>
      <c r="M934" s="179"/>
    </row>
    <row r="935" spans="1:13" ht="12">
      <c r="A935" s="41">
        <v>15</v>
      </c>
      <c r="C935" s="4" t="s">
        <v>30</v>
      </c>
      <c r="E935" s="41">
        <v>15</v>
      </c>
      <c r="F935" s="41"/>
      <c r="G935" s="179"/>
      <c r="H935" s="179">
        <v>0</v>
      </c>
      <c r="I935" s="179"/>
      <c r="J935" s="179">
        <v>0</v>
      </c>
      <c r="K935" s="179"/>
      <c r="L935" s="179"/>
      <c r="M935" s="179">
        <v>0</v>
      </c>
    </row>
    <row r="936" spans="1:13" ht="12">
      <c r="A936" s="41">
        <v>16</v>
      </c>
      <c r="C936" s="4" t="s">
        <v>31</v>
      </c>
      <c r="E936" s="41">
        <v>16</v>
      </c>
      <c r="F936" s="41"/>
      <c r="G936" s="179"/>
      <c r="H936" s="179">
        <v>0</v>
      </c>
      <c r="I936" s="179"/>
      <c r="J936" s="179">
        <v>0</v>
      </c>
      <c r="K936" s="179"/>
      <c r="L936" s="179"/>
      <c r="M936" s="179">
        <v>0</v>
      </c>
    </row>
    <row r="937" spans="1:13" ht="12">
      <c r="A937" s="41">
        <v>17</v>
      </c>
      <c r="C937" s="4" t="s">
        <v>32</v>
      </c>
      <c r="E937" s="41">
        <v>17</v>
      </c>
      <c r="F937" s="41"/>
      <c r="G937" s="179"/>
      <c r="H937" s="179">
        <v>0</v>
      </c>
      <c r="I937" s="179"/>
      <c r="J937" s="179">
        <v>0</v>
      </c>
      <c r="K937" s="179"/>
      <c r="L937" s="179"/>
      <c r="M937" s="179">
        <v>0</v>
      </c>
    </row>
    <row r="938" spans="1:13" ht="12">
      <c r="A938" s="41">
        <v>18</v>
      </c>
      <c r="E938" s="41">
        <v>18</v>
      </c>
      <c r="F938" s="41"/>
      <c r="G938" s="179"/>
      <c r="H938" s="179"/>
      <c r="I938" s="179"/>
      <c r="J938" s="179"/>
      <c r="K938" s="179"/>
      <c r="L938" s="179"/>
      <c r="M938" s="179"/>
    </row>
    <row r="939" spans="1:9" ht="12">
      <c r="A939" s="41">
        <v>19</v>
      </c>
      <c r="E939" s="41">
        <v>19</v>
      </c>
      <c r="F939" s="41"/>
      <c r="G939" s="179"/>
      <c r="I939" s="179"/>
    </row>
    <row r="940" spans="1:13" ht="12">
      <c r="A940" s="41">
        <v>20</v>
      </c>
      <c r="E940" s="41">
        <v>20</v>
      </c>
      <c r="F940" s="41"/>
      <c r="G940" s="176"/>
      <c r="H940" s="176"/>
      <c r="I940" s="176"/>
      <c r="J940" s="176"/>
      <c r="K940" s="176"/>
      <c r="L940" s="176"/>
      <c r="M940" s="176"/>
    </row>
    <row r="941" spans="1:13" ht="12">
      <c r="A941" s="41">
        <v>21</v>
      </c>
      <c r="E941" s="41">
        <v>21</v>
      </c>
      <c r="F941" s="41"/>
      <c r="G941" s="176"/>
      <c r="H941" s="86"/>
      <c r="I941" s="176"/>
      <c r="J941" s="86"/>
      <c r="K941" s="176"/>
      <c r="L941" s="176"/>
      <c r="M941" s="86"/>
    </row>
    <row r="942" spans="1:13" ht="12">
      <c r="A942" s="41">
        <v>22</v>
      </c>
      <c r="E942" s="41">
        <v>22</v>
      </c>
      <c r="F942" s="41"/>
      <c r="G942" s="86"/>
      <c r="H942" s="86"/>
      <c r="I942" s="86"/>
      <c r="J942" s="86"/>
      <c r="L942" s="86"/>
      <c r="M942" s="86"/>
    </row>
    <row r="943" spans="1:13" ht="12">
      <c r="A943" s="41">
        <v>23</v>
      </c>
      <c r="D943" s="47"/>
      <c r="E943" s="41">
        <v>23</v>
      </c>
      <c r="F943" s="41"/>
      <c r="H943" s="86"/>
      <c r="J943" s="86"/>
      <c r="M943" s="86"/>
    </row>
    <row r="944" spans="1:13" ht="12">
      <c r="A944" s="41">
        <v>24</v>
      </c>
      <c r="D944" s="47"/>
      <c r="E944" s="41">
        <v>24</v>
      </c>
      <c r="F944" s="41"/>
      <c r="H944" s="86"/>
      <c r="J944" s="86"/>
      <c r="M944" s="86"/>
    </row>
    <row r="945" spans="7:13" ht="12">
      <c r="G945" s="176" t="s">
        <v>1</v>
      </c>
      <c r="H945" s="176" t="s">
        <v>1</v>
      </c>
      <c r="I945" s="176" t="s">
        <v>1</v>
      </c>
      <c r="J945" s="176" t="s">
        <v>1</v>
      </c>
      <c r="K945" s="176" t="s">
        <v>1</v>
      </c>
      <c r="L945" s="176" t="s">
        <v>1</v>
      </c>
      <c r="M945" s="176" t="s">
        <v>1</v>
      </c>
    </row>
    <row r="946" spans="1:13" ht="12">
      <c r="A946" s="41">
        <v>25</v>
      </c>
      <c r="C946" s="4" t="s">
        <v>274</v>
      </c>
      <c r="E946" s="41">
        <v>25</v>
      </c>
      <c r="F946" s="41"/>
      <c r="G946" s="86">
        <f>SUM(G931:G942)</f>
        <v>0</v>
      </c>
      <c r="H946" s="86">
        <f>SUM(H931:H942)</f>
        <v>0</v>
      </c>
      <c r="I946" s="86">
        <f>SUM(I931:I942)</f>
        <v>0</v>
      </c>
      <c r="J946" s="86">
        <f>SUM(J931:J942)</f>
        <v>0</v>
      </c>
      <c r="L946" s="86">
        <f>SUM(L931:L942)</f>
        <v>0</v>
      </c>
      <c r="M946" s="86">
        <f>SUM(M931:M942)</f>
        <v>0</v>
      </c>
    </row>
    <row r="947" spans="5:13" ht="12">
      <c r="E947" s="38"/>
      <c r="F947" s="38"/>
      <c r="G947" s="176" t="s">
        <v>1</v>
      </c>
      <c r="H947" s="176" t="s">
        <v>1</v>
      </c>
      <c r="I947" s="176" t="s">
        <v>1</v>
      </c>
      <c r="J947" s="176" t="s">
        <v>1</v>
      </c>
      <c r="K947" s="176" t="s">
        <v>1</v>
      </c>
      <c r="L947" s="176" t="s">
        <v>1</v>
      </c>
      <c r="M947" s="176" t="s">
        <v>1</v>
      </c>
    </row>
    <row r="949" spans="1:13" ht="12">
      <c r="A949" s="4"/>
      <c r="H949" s="86"/>
      <c r="J949" s="86"/>
      <c r="M949" s="86"/>
    </row>
    <row r="950" spans="1:16" s="21" customFormat="1" ht="12">
      <c r="A950" s="70" t="str">
        <f>$A$82</f>
        <v>Institution No.:  GFD</v>
      </c>
      <c r="E950" s="20"/>
      <c r="F950" s="20"/>
      <c r="G950" s="87"/>
      <c r="H950" s="87"/>
      <c r="I950" s="87"/>
      <c r="J950" s="87"/>
      <c r="K950" s="208"/>
      <c r="L950" s="87"/>
      <c r="M950" s="212" t="s">
        <v>56</v>
      </c>
      <c r="O950" s="375"/>
      <c r="P950" s="376"/>
    </row>
    <row r="951" spans="1:16" s="21" customFormat="1" ht="12">
      <c r="A951" s="435" t="s">
        <v>57</v>
      </c>
      <c r="B951" s="435"/>
      <c r="C951" s="435"/>
      <c r="D951" s="435"/>
      <c r="E951" s="435"/>
      <c r="F951" s="435"/>
      <c r="G951" s="435"/>
      <c r="H951" s="435"/>
      <c r="I951" s="435"/>
      <c r="J951" s="435"/>
      <c r="K951" s="435"/>
      <c r="L951" s="435"/>
      <c r="M951" s="435"/>
      <c r="O951" s="375"/>
      <c r="P951" s="376"/>
    </row>
    <row r="952" spans="1:13" ht="12">
      <c r="A952" s="70" t="str">
        <f>$A$84</f>
        <v>NAME: University of Colorado - Denver</v>
      </c>
      <c r="G952" s="86"/>
      <c r="H952" s="86"/>
      <c r="J952" s="217"/>
      <c r="L952" s="86"/>
      <c r="M952" s="213" t="str">
        <f>$M$3</f>
        <v>Date: 10/1/2007</v>
      </c>
    </row>
    <row r="953" spans="1:13" ht="12">
      <c r="A953" s="15" t="s">
        <v>1</v>
      </c>
      <c r="B953" s="15" t="s">
        <v>1</v>
      </c>
      <c r="C953" s="15" t="s">
        <v>1</v>
      </c>
      <c r="D953" s="15" t="s">
        <v>1</v>
      </c>
      <c r="E953" s="15" t="s">
        <v>1</v>
      </c>
      <c r="F953" s="15"/>
      <c r="G953" s="176" t="s">
        <v>1</v>
      </c>
      <c r="H953" s="176" t="s">
        <v>1</v>
      </c>
      <c r="I953" s="176" t="s">
        <v>1</v>
      </c>
      <c r="J953" s="176" t="s">
        <v>1</v>
      </c>
      <c r="K953" s="176" t="s">
        <v>1</v>
      </c>
      <c r="L953" s="176" t="s">
        <v>1</v>
      </c>
      <c r="M953" s="176" t="s">
        <v>1</v>
      </c>
    </row>
    <row r="954" spans="1:13" ht="12">
      <c r="A954" s="73" t="s">
        <v>2</v>
      </c>
      <c r="E954" s="73" t="s">
        <v>2</v>
      </c>
      <c r="F954" s="73"/>
      <c r="G954" s="123"/>
      <c r="H954" s="123" t="str">
        <f>$H$86</f>
        <v>2005-06</v>
      </c>
      <c r="I954" s="86"/>
      <c r="J954" s="123" t="str">
        <f>$J$86</f>
        <v>2006-07</v>
      </c>
      <c r="L954" s="86"/>
      <c r="M954" s="123" t="str">
        <f>$M$86</f>
        <v>2007-08</v>
      </c>
    </row>
    <row r="955" spans="1:13" ht="12">
      <c r="A955" s="73" t="s">
        <v>4</v>
      </c>
      <c r="C955" s="74" t="s">
        <v>20</v>
      </c>
      <c r="E955" s="73" t="s">
        <v>4</v>
      </c>
      <c r="F955" s="73"/>
      <c r="G955" s="123"/>
      <c r="H955" s="123" t="s">
        <v>7</v>
      </c>
      <c r="I955" s="123"/>
      <c r="J955" s="123" t="s">
        <v>7</v>
      </c>
      <c r="K955" s="191"/>
      <c r="L955" s="123"/>
      <c r="M955" s="123" t="s">
        <v>8</v>
      </c>
    </row>
    <row r="956" spans="1:13" ht="12">
      <c r="A956" s="15" t="s">
        <v>1</v>
      </c>
      <c r="B956" s="15" t="s">
        <v>1</v>
      </c>
      <c r="C956" s="15" t="s">
        <v>1</v>
      </c>
      <c r="D956" s="15" t="s">
        <v>1</v>
      </c>
      <c r="E956" s="15" t="s">
        <v>1</v>
      </c>
      <c r="F956" s="15"/>
      <c r="G956" s="176" t="s">
        <v>1</v>
      </c>
      <c r="H956" s="176" t="s">
        <v>1</v>
      </c>
      <c r="I956" s="176" t="s">
        <v>1</v>
      </c>
      <c r="J956" s="176" t="s">
        <v>1</v>
      </c>
      <c r="K956" s="176" t="s">
        <v>1</v>
      </c>
      <c r="L956" s="176" t="s">
        <v>1</v>
      </c>
      <c r="M956" s="176" t="s">
        <v>1</v>
      </c>
    </row>
    <row r="957" spans="1:13" ht="12">
      <c r="A957" s="30">
        <v>1</v>
      </c>
      <c r="C957" s="5" t="s">
        <v>58</v>
      </c>
      <c r="E957" s="30">
        <v>1</v>
      </c>
      <c r="F957" s="30"/>
      <c r="G957" s="86"/>
      <c r="H957" s="192">
        <f>1533348</f>
        <v>1533348</v>
      </c>
      <c r="I957" s="179"/>
      <c r="J957" s="179">
        <v>2773145</v>
      </c>
      <c r="K957" s="179"/>
      <c r="L957" s="179"/>
      <c r="M957" s="179">
        <f>426216+80000+500000+100000+300000+300000+900000</f>
        <v>2606216</v>
      </c>
    </row>
    <row r="958" spans="1:13" ht="12">
      <c r="A958" s="30">
        <v>2</v>
      </c>
      <c r="E958" s="30">
        <v>2</v>
      </c>
      <c r="F958" s="30"/>
      <c r="G958" s="86"/>
      <c r="I958" s="179"/>
      <c r="K958" s="179"/>
      <c r="L958" s="179"/>
      <c r="M958" s="179"/>
    </row>
    <row r="959" spans="1:13" ht="12">
      <c r="A959" s="30">
        <v>3</v>
      </c>
      <c r="E959" s="30">
        <v>3</v>
      </c>
      <c r="F959" s="30"/>
      <c r="G959" s="86"/>
      <c r="I959" s="179"/>
      <c r="J959" s="179"/>
      <c r="K959" s="179"/>
      <c r="L959" s="179"/>
      <c r="M959" s="179">
        <v>0</v>
      </c>
    </row>
    <row r="960" spans="1:13" ht="12">
      <c r="A960" s="30">
        <v>4</v>
      </c>
      <c r="C960" s="27"/>
      <c r="E960" s="30">
        <v>4</v>
      </c>
      <c r="F960" s="30"/>
      <c r="G960" s="86"/>
      <c r="H960" s="179"/>
      <c r="I960" s="179"/>
      <c r="J960" s="179">
        <v>0</v>
      </c>
      <c r="K960" s="179"/>
      <c r="L960" s="179"/>
      <c r="M960" s="179">
        <v>0</v>
      </c>
    </row>
    <row r="961" spans="1:15" ht="12.75">
      <c r="A961" s="30">
        <v>5</v>
      </c>
      <c r="C961" s="4"/>
      <c r="E961" s="30">
        <v>5</v>
      </c>
      <c r="F961" s="30"/>
      <c r="G961" s="86"/>
      <c r="H961" s="179">
        <v>0</v>
      </c>
      <c r="I961" s="179"/>
      <c r="J961" s="179">
        <v>0</v>
      </c>
      <c r="K961" s="179"/>
      <c r="L961" s="179"/>
      <c r="M961" s="179">
        <v>0</v>
      </c>
      <c r="O961" s="405"/>
    </row>
    <row r="962" spans="1:15" ht="12.75">
      <c r="A962" s="30">
        <v>6</v>
      </c>
      <c r="C962" s="27"/>
      <c r="E962" s="30">
        <v>6</v>
      </c>
      <c r="F962" s="30"/>
      <c r="G962" s="86"/>
      <c r="H962" s="179">
        <v>0</v>
      </c>
      <c r="I962" s="179"/>
      <c r="J962" s="179">
        <v>0</v>
      </c>
      <c r="K962" s="179"/>
      <c r="L962" s="179"/>
      <c r="M962" s="179">
        <v>0</v>
      </c>
      <c r="N962" s="36"/>
      <c r="O962" s="406"/>
    </row>
    <row r="963" spans="1:15" ht="12.75">
      <c r="A963" s="30">
        <v>7</v>
      </c>
      <c r="C963" s="27"/>
      <c r="E963" s="30">
        <v>7</v>
      </c>
      <c r="F963" s="30"/>
      <c r="G963" s="86"/>
      <c r="H963" s="179">
        <v>0</v>
      </c>
      <c r="I963" s="179"/>
      <c r="J963" s="179">
        <v>0</v>
      </c>
      <c r="K963" s="179"/>
      <c r="L963" s="179"/>
      <c r="M963" s="179">
        <v>0</v>
      </c>
      <c r="N963" s="405"/>
      <c r="O963" s="406"/>
    </row>
    <row r="964" spans="1:15" ht="12.75">
      <c r="A964" s="30">
        <v>8</v>
      </c>
      <c r="E964" s="30">
        <v>8</v>
      </c>
      <c r="F964" s="30"/>
      <c r="G964" s="86"/>
      <c r="H964" s="179">
        <v>0</v>
      </c>
      <c r="I964" s="179"/>
      <c r="J964" s="179">
        <v>0</v>
      </c>
      <c r="K964" s="179"/>
      <c r="L964" s="179"/>
      <c r="M964" s="179">
        <v>0</v>
      </c>
      <c r="N964" s="406"/>
      <c r="O964" s="406"/>
    </row>
    <row r="965" spans="1:15" ht="12.75">
      <c r="A965" s="30">
        <v>9</v>
      </c>
      <c r="E965" s="30">
        <v>9</v>
      </c>
      <c r="F965" s="30"/>
      <c r="G965" s="86"/>
      <c r="H965" s="179">
        <v>0</v>
      </c>
      <c r="I965" s="179"/>
      <c r="J965" s="179">
        <v>0</v>
      </c>
      <c r="K965" s="179"/>
      <c r="L965" s="179"/>
      <c r="M965" s="179">
        <v>0</v>
      </c>
      <c r="N965" s="406"/>
      <c r="O965" s="406"/>
    </row>
    <row r="966" spans="1:15" ht="12.75">
      <c r="A966" s="37"/>
      <c r="E966" s="37"/>
      <c r="F966" s="37"/>
      <c r="G966" s="176" t="s">
        <v>1</v>
      </c>
      <c r="H966" s="176" t="s">
        <v>1</v>
      </c>
      <c r="I966" s="176" t="s">
        <v>1</v>
      </c>
      <c r="J966" s="176" t="s">
        <v>1</v>
      </c>
      <c r="K966" s="176" t="s">
        <v>1</v>
      </c>
      <c r="L966" s="176" t="s">
        <v>1</v>
      </c>
      <c r="M966" s="176" t="s">
        <v>1</v>
      </c>
      <c r="N966" s="406"/>
      <c r="O966" s="406"/>
    </row>
    <row r="967" spans="1:15" ht="12.75">
      <c r="A967" s="30">
        <v>10</v>
      </c>
      <c r="C967" s="5" t="s">
        <v>98</v>
      </c>
      <c r="E967" s="30">
        <v>10</v>
      </c>
      <c r="F967" s="30"/>
      <c r="G967" s="86"/>
      <c r="H967" s="179">
        <f>SUM(H957:H965)</f>
        <v>1533348</v>
      </c>
      <c r="I967" s="86"/>
      <c r="J967" s="179">
        <f>SUM(J957:J965)</f>
        <v>2773145</v>
      </c>
      <c r="L967" s="86"/>
      <c r="M967" s="179">
        <f>SUM(M957:M965)</f>
        <v>2606216</v>
      </c>
      <c r="N967" s="406"/>
      <c r="O967" s="406"/>
    </row>
    <row r="968" spans="1:15" ht="12.75">
      <c r="A968" s="30"/>
      <c r="E968" s="30"/>
      <c r="F968" s="30"/>
      <c r="G968" s="176" t="s">
        <v>1</v>
      </c>
      <c r="H968" s="176" t="s">
        <v>1</v>
      </c>
      <c r="I968" s="176" t="s">
        <v>1</v>
      </c>
      <c r="J968" s="176" t="s">
        <v>1</v>
      </c>
      <c r="K968" s="176" t="s">
        <v>1</v>
      </c>
      <c r="L968" s="176" t="s">
        <v>1</v>
      </c>
      <c r="M968" s="176" t="s">
        <v>1</v>
      </c>
      <c r="N968" s="406"/>
      <c r="O968" s="407"/>
    </row>
    <row r="969" spans="1:14" ht="12.75">
      <c r="A969" s="30">
        <v>11</v>
      </c>
      <c r="C969" s="27"/>
      <c r="E969" s="30">
        <v>11</v>
      </c>
      <c r="F969" s="30"/>
      <c r="G969" s="86"/>
      <c r="H969" s="179"/>
      <c r="I969" s="179"/>
      <c r="J969" s="179"/>
      <c r="K969" s="179"/>
      <c r="L969" s="179"/>
      <c r="M969" s="179"/>
      <c r="N969" s="406"/>
    </row>
    <row r="970" spans="1:16" ht="12.75">
      <c r="A970" s="30">
        <v>12</v>
      </c>
      <c r="C970" s="4" t="s">
        <v>169</v>
      </c>
      <c r="E970" s="30">
        <v>12</v>
      </c>
      <c r="F970" s="30"/>
      <c r="G970" s="86"/>
      <c r="H970" s="179">
        <f>13160789-739450</f>
        <v>12421339</v>
      </c>
      <c r="I970" s="179"/>
      <c r="J970" s="179">
        <f>10549765+485742+85</f>
        <v>11035592</v>
      </c>
      <c r="K970" s="179"/>
      <c r="L970" s="179"/>
      <c r="M970" s="179">
        <f>-313215-324972-269662+4799999+563818+2700000+750000+150000+50000</f>
        <v>8105968</v>
      </c>
      <c r="N970" s="405"/>
      <c r="P970" s="209"/>
    </row>
    <row r="971" spans="1:15" ht="12.75">
      <c r="A971" s="30">
        <v>13</v>
      </c>
      <c r="C971" s="27" t="s">
        <v>599</v>
      </c>
      <c r="E971" s="30">
        <v>13</v>
      </c>
      <c r="F971" s="30"/>
      <c r="G971" s="86"/>
      <c r="H971" s="179">
        <f>191966+234088+233482+37809+15800+96537+245+1191916</f>
        <v>2001843</v>
      </c>
      <c r="I971" s="179"/>
      <c r="J971" s="179">
        <f>58848+365785+2033188+11361-47782</f>
        <v>2421400</v>
      </c>
      <c r="K971" s="179"/>
      <c r="L971" s="179"/>
      <c r="M971" s="179">
        <f>5695+39016+59825+1565830+676920+214646+15000</f>
        <v>2576932</v>
      </c>
      <c r="N971" s="410"/>
      <c r="O971" s="405"/>
    </row>
    <row r="972" spans="1:15" ht="12.75">
      <c r="A972" s="30">
        <v>14</v>
      </c>
      <c r="E972" s="30">
        <v>14</v>
      </c>
      <c r="F972" s="30"/>
      <c r="G972" s="86"/>
      <c r="H972" s="179">
        <v>0</v>
      </c>
      <c r="I972" s="179"/>
      <c r="J972" s="179"/>
      <c r="K972" s="179"/>
      <c r="L972" s="179"/>
      <c r="M972" s="179"/>
      <c r="N972" s="406"/>
      <c r="O972" s="406"/>
    </row>
    <row r="973" spans="1:15" ht="12.75">
      <c r="A973" s="30">
        <v>15</v>
      </c>
      <c r="E973" s="30">
        <v>15</v>
      </c>
      <c r="F973" s="30"/>
      <c r="G973" s="86"/>
      <c r="H973" s="179">
        <v>0</v>
      </c>
      <c r="I973" s="179"/>
      <c r="J973" s="179">
        <v>0</v>
      </c>
      <c r="K973" s="179"/>
      <c r="L973" s="179"/>
      <c r="M973" s="179">
        <v>0</v>
      </c>
      <c r="N973" s="406"/>
      <c r="O973" s="406"/>
    </row>
    <row r="974" spans="1:15" ht="12.75">
      <c r="A974" s="30">
        <v>16</v>
      </c>
      <c r="E974" s="30">
        <v>16</v>
      </c>
      <c r="F974" s="30"/>
      <c r="G974" s="86"/>
      <c r="H974" s="179">
        <v>0</v>
      </c>
      <c r="I974" s="179"/>
      <c r="J974" s="179">
        <v>0</v>
      </c>
      <c r="K974" s="179"/>
      <c r="L974" s="179"/>
      <c r="M974" s="179">
        <v>0</v>
      </c>
      <c r="N974" s="406"/>
      <c r="O974" s="406"/>
    </row>
    <row r="975" spans="1:15" ht="12.75">
      <c r="A975" s="30">
        <v>17</v>
      </c>
      <c r="C975" s="31"/>
      <c r="D975" s="36"/>
      <c r="E975" s="30">
        <v>17</v>
      </c>
      <c r="F975" s="30"/>
      <c r="G975" s="86"/>
      <c r="H975" s="179">
        <v>0</v>
      </c>
      <c r="I975" s="179"/>
      <c r="J975" s="179">
        <v>0</v>
      </c>
      <c r="K975" s="179"/>
      <c r="L975" s="179"/>
      <c r="M975" s="179">
        <v>0</v>
      </c>
      <c r="N975" s="406"/>
      <c r="O975" s="406"/>
    </row>
    <row r="976" spans="1:15" ht="12.75">
      <c r="A976" s="30">
        <v>18</v>
      </c>
      <c r="C976" s="36"/>
      <c r="D976" s="36"/>
      <c r="E976" s="30">
        <v>18</v>
      </c>
      <c r="F976" s="30"/>
      <c r="G976" s="86"/>
      <c r="H976" s="179">
        <v>0</v>
      </c>
      <c r="I976" s="179"/>
      <c r="J976" s="179">
        <v>0</v>
      </c>
      <c r="K976" s="179"/>
      <c r="L976" s="179"/>
      <c r="M976" s="179">
        <v>0</v>
      </c>
      <c r="N976" s="406"/>
      <c r="O976" s="406"/>
    </row>
    <row r="977" spans="1:15" ht="12.75">
      <c r="A977" s="30"/>
      <c r="C977" s="50"/>
      <c r="D977" s="36"/>
      <c r="E977" s="30"/>
      <c r="F977" s="30"/>
      <c r="G977" s="176" t="s">
        <v>1</v>
      </c>
      <c r="H977" s="176" t="s">
        <v>1</v>
      </c>
      <c r="I977" s="176" t="s">
        <v>1</v>
      </c>
      <c r="J977" s="176" t="s">
        <v>1</v>
      </c>
      <c r="K977" s="176" t="s">
        <v>1</v>
      </c>
      <c r="L977" s="176" t="s">
        <v>1</v>
      </c>
      <c r="M977" s="176" t="s">
        <v>1</v>
      </c>
      <c r="N977" s="406"/>
      <c r="O977" s="406"/>
    </row>
    <row r="978" spans="1:13" ht="12">
      <c r="A978" s="30">
        <v>19</v>
      </c>
      <c r="C978" s="5" t="s">
        <v>170</v>
      </c>
      <c r="D978" s="36"/>
      <c r="E978" s="30">
        <v>19</v>
      </c>
      <c r="F978" s="30"/>
      <c r="H978" s="192">
        <f>SUM(H970:H976)</f>
        <v>14423182</v>
      </c>
      <c r="J978" s="192">
        <f>SUM(J970:J976)</f>
        <v>13456992</v>
      </c>
      <c r="K978" s="179"/>
      <c r="L978" s="179"/>
      <c r="M978" s="192">
        <f>SUM(M970:M976)</f>
        <v>10682900</v>
      </c>
    </row>
    <row r="979" spans="1:13" ht="12">
      <c r="A979" s="30"/>
      <c r="C979" s="50"/>
      <c r="D979" s="36"/>
      <c r="E979" s="30"/>
      <c r="F979" s="30"/>
      <c r="G979" s="176" t="s">
        <v>1</v>
      </c>
      <c r="H979" s="176" t="s">
        <v>1</v>
      </c>
      <c r="I979" s="176" t="s">
        <v>1</v>
      </c>
      <c r="J979" s="176" t="s">
        <v>1</v>
      </c>
      <c r="K979" s="176" t="s">
        <v>1</v>
      </c>
      <c r="L979" s="176" t="s">
        <v>1</v>
      </c>
      <c r="M979" s="176" t="s">
        <v>1</v>
      </c>
    </row>
    <row r="980" spans="1:10" ht="12">
      <c r="A980" s="30"/>
      <c r="C980" s="36"/>
      <c r="D980" s="36"/>
      <c r="E980" s="30"/>
      <c r="F980" s="30"/>
      <c r="H980" s="179"/>
      <c r="J980" s="179"/>
    </row>
    <row r="981" spans="1:13" ht="12">
      <c r="A981" s="30">
        <v>20</v>
      </c>
      <c r="C981" s="4" t="s">
        <v>275</v>
      </c>
      <c r="E981" s="30">
        <v>20</v>
      </c>
      <c r="F981" s="30"/>
      <c r="G981" s="86"/>
      <c r="H981" s="86">
        <f>SUM(H967,H978)</f>
        <v>15956530</v>
      </c>
      <c r="I981" s="86"/>
      <c r="J981" s="86">
        <f>SUM(J967,J978)</f>
        <v>16230137</v>
      </c>
      <c r="L981" s="86"/>
      <c r="M981" s="86">
        <f>SUM(M967,M978)</f>
        <v>13289116</v>
      </c>
    </row>
    <row r="982" spans="3:13" ht="12">
      <c r="C982" s="75" t="s">
        <v>99</v>
      </c>
      <c r="E982" s="38"/>
      <c r="F982" s="38"/>
      <c r="G982" s="176" t="s">
        <v>1</v>
      </c>
      <c r="H982" s="176" t="s">
        <v>1</v>
      </c>
      <c r="I982" s="176" t="s">
        <v>1</v>
      </c>
      <c r="J982" s="176" t="s">
        <v>1</v>
      </c>
      <c r="K982" s="176" t="s">
        <v>1</v>
      </c>
      <c r="L982" s="176" t="s">
        <v>1</v>
      </c>
      <c r="M982" s="176" t="s">
        <v>1</v>
      </c>
    </row>
    <row r="983" ht="12">
      <c r="C983" s="4"/>
    </row>
    <row r="984" ht="12">
      <c r="C984" s="4"/>
    </row>
    <row r="992" spans="4:13" ht="12">
      <c r="D992" s="1"/>
      <c r="I992" s="86"/>
      <c r="J992" s="86"/>
      <c r="L992" s="86"/>
      <c r="M992" s="86"/>
    </row>
  </sheetData>
  <sheetProtection/>
  <mergeCells count="24">
    <mergeCell ref="A5:M5"/>
    <mergeCell ref="A8:M8"/>
    <mergeCell ref="A9:M9"/>
    <mergeCell ref="A20:M20"/>
    <mergeCell ref="A38:M38"/>
    <mergeCell ref="A83:M83"/>
    <mergeCell ref="A174:M174"/>
    <mergeCell ref="A226:M226"/>
    <mergeCell ref="A126:M126"/>
    <mergeCell ref="A42:M42"/>
    <mergeCell ref="A275:M275"/>
    <mergeCell ref="A527:M527"/>
    <mergeCell ref="A564:M564"/>
    <mergeCell ref="A603:M603"/>
    <mergeCell ref="B321:I321"/>
    <mergeCell ref="A641:M641"/>
    <mergeCell ref="A678:M678"/>
    <mergeCell ref="A715:M715"/>
    <mergeCell ref="A752:M752"/>
    <mergeCell ref="A951:M951"/>
    <mergeCell ref="A789:M789"/>
    <mergeCell ref="A825:M825"/>
    <mergeCell ref="A876:M876"/>
    <mergeCell ref="A915:M915"/>
  </mergeCells>
  <printOptions/>
  <pageMargins left="0.75" right="0.75" top="1" bottom="1" header="0.5" footer="0.5"/>
  <pageSetup fitToHeight="0" fitToWidth="1" horizontalDpi="600" verticalDpi="600" orientation="landscape" scale="71" r:id="rId1"/>
  <rowBreaks count="23" manualBreakCount="23">
    <brk id="38" max="12" man="1"/>
    <brk id="80" max="12" man="1"/>
    <brk id="121" max="12" man="1"/>
    <brk id="171" max="12" man="1"/>
    <brk id="224" max="12" man="1"/>
    <brk id="273" max="12" man="1"/>
    <brk id="319" max="12" man="1"/>
    <brk id="368" max="12" man="1"/>
    <brk id="417" max="12" man="1"/>
    <brk id="455" max="12" man="1"/>
    <brk id="491" max="12" man="1"/>
    <brk id="524" max="12" man="1"/>
    <brk id="561" max="12" man="1"/>
    <brk id="600" max="12" man="1"/>
    <brk id="638" max="12" man="1"/>
    <brk id="675" max="12" man="1"/>
    <brk id="712" max="12" man="1"/>
    <brk id="749" max="12" man="1"/>
    <brk id="786" max="12" man="1"/>
    <brk id="822" max="12" man="1"/>
    <brk id="873" max="12" man="1"/>
    <brk id="912" max="12" man="1"/>
    <brk id="94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03"/>
  <sheetViews>
    <sheetView view="pageBreakPreview" zoomScale="75" zoomScaleSheetLayoutView="75" zoomScalePageLayoutView="0" workbookViewId="0" topLeftCell="A274">
      <selection activeCell="F587" sqref="F587"/>
    </sheetView>
  </sheetViews>
  <sheetFormatPr defaultColWidth="9.625" defaultRowHeight="12.75"/>
  <cols>
    <col min="1" max="1" width="5.625" style="225" customWidth="1"/>
    <col min="2" max="2" width="1.875" style="225" customWidth="1"/>
    <col min="3" max="3" width="33.125" style="225" customWidth="1"/>
    <col min="4" max="4" width="24.125" style="225" customWidth="1"/>
    <col min="5" max="6" width="8.125" style="225" customWidth="1"/>
    <col min="7" max="7" width="10.00390625" style="225" bestFit="1" customWidth="1"/>
    <col min="8" max="8" width="13.75390625" style="225" customWidth="1"/>
    <col min="9" max="9" width="11.625" style="225" customWidth="1"/>
    <col min="10" max="10" width="12.625" style="225" customWidth="1"/>
    <col min="11" max="11" width="8.875" style="225" customWidth="1"/>
    <col min="12" max="12" width="8.625" style="225" customWidth="1"/>
    <col min="13" max="13" width="15.25390625" style="225" bestFit="1" customWidth="1"/>
    <col min="14" max="14" width="9.625" style="225" customWidth="1"/>
    <col min="15" max="15" width="9.625" style="226" customWidth="1"/>
    <col min="16" max="16384" width="9.625" style="225" customWidth="1"/>
  </cols>
  <sheetData>
    <row r="1" spans="1:11" ht="15.75">
      <c r="A1" s="5"/>
      <c r="B1" s="5"/>
      <c r="C1" s="5"/>
      <c r="D1" s="5"/>
      <c r="E1" s="5"/>
      <c r="F1" s="192"/>
      <c r="G1" s="192"/>
      <c r="H1" s="192"/>
      <c r="I1" s="192"/>
      <c r="J1" s="192"/>
      <c r="K1" s="192"/>
    </row>
    <row r="2" spans="1:11" ht="15.75">
      <c r="A2" s="5"/>
      <c r="B2" s="5"/>
      <c r="C2" s="5"/>
      <c r="D2" s="5"/>
      <c r="E2" s="5"/>
      <c r="F2" s="192"/>
      <c r="G2" s="192"/>
      <c r="H2" s="192"/>
      <c r="I2" s="192"/>
      <c r="J2" s="372" t="s">
        <v>158</v>
      </c>
      <c r="K2" s="372"/>
    </row>
    <row r="3" spans="1:11" ht="15.75">
      <c r="A3" s="5"/>
      <c r="B3" s="5"/>
      <c r="C3" s="5"/>
      <c r="D3" s="5"/>
      <c r="E3" s="5"/>
      <c r="F3" s="192"/>
      <c r="G3" s="192"/>
      <c r="H3" s="192"/>
      <c r="I3" s="192"/>
      <c r="J3" s="208" t="s">
        <v>288</v>
      </c>
      <c r="K3" s="208"/>
    </row>
    <row r="4" spans="1:11" ht="15.75">
      <c r="A4" s="5"/>
      <c r="B4" s="5"/>
      <c r="C4" s="5"/>
      <c r="D4" s="5"/>
      <c r="E4" s="5"/>
      <c r="F4" s="192"/>
      <c r="G4" s="192"/>
      <c r="H4" s="192"/>
      <c r="I4" s="192"/>
      <c r="J4" s="192"/>
      <c r="K4" s="192"/>
    </row>
    <row r="5" spans="1:11" ht="45">
      <c r="A5" s="424" t="s">
        <v>157</v>
      </c>
      <c r="B5" s="424"/>
      <c r="C5" s="424"/>
      <c r="D5" s="424"/>
      <c r="E5" s="424"/>
      <c r="F5" s="424"/>
      <c r="G5" s="424"/>
      <c r="H5" s="424"/>
      <c r="I5" s="424"/>
      <c r="J5" s="424"/>
      <c r="K5" s="354"/>
    </row>
    <row r="6" spans="1:11" ht="15.75">
      <c r="A6" s="5"/>
      <c r="B6" s="5"/>
      <c r="C6" s="5"/>
      <c r="D6" s="5"/>
      <c r="E6" s="5"/>
      <c r="F6" s="192"/>
      <c r="G6" s="192"/>
      <c r="H6" s="192"/>
      <c r="I6" s="192"/>
      <c r="J6" s="192"/>
      <c r="K6" s="192"/>
    </row>
    <row r="7" spans="1:11" ht="15.75">
      <c r="A7" s="5"/>
      <c r="B7" s="5"/>
      <c r="C7" s="5"/>
      <c r="D7" s="5"/>
      <c r="E7" s="5"/>
      <c r="F7" s="192"/>
      <c r="G7" s="192"/>
      <c r="H7" s="192"/>
      <c r="I7" s="192"/>
      <c r="J7" s="192"/>
      <c r="K7" s="192"/>
    </row>
    <row r="8" spans="1:11" ht="33">
      <c r="A8" s="425" t="s">
        <v>476</v>
      </c>
      <c r="B8" s="425"/>
      <c r="C8" s="425"/>
      <c r="D8" s="425"/>
      <c r="E8" s="425"/>
      <c r="F8" s="425"/>
      <c r="G8" s="425"/>
      <c r="H8" s="425"/>
      <c r="I8" s="425"/>
      <c r="J8" s="425"/>
      <c r="K8" s="355"/>
    </row>
    <row r="9" spans="1:11" ht="33">
      <c r="A9" s="425" t="s">
        <v>286</v>
      </c>
      <c r="B9" s="425"/>
      <c r="C9" s="425"/>
      <c r="D9" s="425"/>
      <c r="E9" s="425"/>
      <c r="F9" s="425"/>
      <c r="G9" s="425"/>
      <c r="H9" s="425"/>
      <c r="I9" s="425"/>
      <c r="J9" s="425"/>
      <c r="K9" s="355"/>
    </row>
    <row r="10" spans="1:11" ht="15.75">
      <c r="A10" s="5"/>
      <c r="B10" s="5"/>
      <c r="C10" s="5"/>
      <c r="D10" s="5"/>
      <c r="E10" s="5"/>
      <c r="F10" s="192"/>
      <c r="G10" s="192"/>
      <c r="H10" s="192"/>
      <c r="I10" s="192"/>
      <c r="J10" s="192"/>
      <c r="K10" s="192"/>
    </row>
    <row r="11" spans="1:11" ht="15.75">
      <c r="A11" s="5"/>
      <c r="B11" s="5"/>
      <c r="C11" s="5"/>
      <c r="D11" s="5"/>
      <c r="E11" s="5"/>
      <c r="F11" s="192"/>
      <c r="G11" s="192"/>
      <c r="H11" s="192"/>
      <c r="I11" s="192"/>
      <c r="J11" s="192"/>
      <c r="K11" s="192"/>
    </row>
    <row r="12" spans="1:11" ht="15.75">
      <c r="A12" s="5"/>
      <c r="B12" s="5"/>
      <c r="C12" s="5"/>
      <c r="D12" s="5"/>
      <c r="E12" s="5"/>
      <c r="F12" s="192"/>
      <c r="G12" s="192"/>
      <c r="H12" s="192"/>
      <c r="I12" s="192"/>
      <c r="J12" s="192"/>
      <c r="K12" s="192"/>
    </row>
    <row r="13" spans="1:11" ht="15.75">
      <c r="A13" s="5"/>
      <c r="B13" s="5"/>
      <c r="C13" s="5"/>
      <c r="D13" s="5"/>
      <c r="E13" s="5"/>
      <c r="F13" s="192"/>
      <c r="G13" s="192"/>
      <c r="H13" s="192"/>
      <c r="I13" s="192"/>
      <c r="J13" s="192"/>
      <c r="K13" s="192"/>
    </row>
    <row r="14" spans="1:11" ht="13.5" customHeight="1">
      <c r="A14" s="5"/>
      <c r="B14" s="5"/>
      <c r="C14" s="5"/>
      <c r="D14" s="5"/>
      <c r="E14" s="5"/>
      <c r="F14" s="192"/>
      <c r="G14" s="192"/>
      <c r="H14" s="192"/>
      <c r="I14" s="192"/>
      <c r="J14" s="192"/>
      <c r="K14" s="192"/>
    </row>
    <row r="15" spans="1:11" ht="15.75" hidden="1">
      <c r="A15" s="5"/>
      <c r="B15" s="5"/>
      <c r="C15" s="5"/>
      <c r="D15" s="5"/>
      <c r="E15" s="5"/>
      <c r="F15" s="192"/>
      <c r="G15" s="192"/>
      <c r="H15" s="192"/>
      <c r="I15" s="192"/>
      <c r="J15" s="192"/>
      <c r="K15" s="192"/>
    </row>
    <row r="16" spans="1:11" ht="15.75" hidden="1">
      <c r="A16" s="5"/>
      <c r="B16" s="5"/>
      <c r="C16" s="5"/>
      <c r="D16" s="5"/>
      <c r="E16" s="5"/>
      <c r="F16" s="192"/>
      <c r="G16" s="192"/>
      <c r="H16" s="192"/>
      <c r="I16" s="192"/>
      <c r="J16" s="192"/>
      <c r="K16" s="192"/>
    </row>
    <row r="17" spans="1:11" ht="15.75">
      <c r="A17" s="5"/>
      <c r="B17" s="5"/>
      <c r="C17" s="5"/>
      <c r="D17" s="5"/>
      <c r="E17" s="5"/>
      <c r="F17" s="192"/>
      <c r="G17" s="192"/>
      <c r="H17" s="192"/>
      <c r="I17" s="192"/>
      <c r="J17" s="192"/>
      <c r="K17" s="192"/>
    </row>
    <row r="18" spans="1:11" ht="15.75">
      <c r="A18" s="5"/>
      <c r="B18" s="5"/>
      <c r="C18" s="5"/>
      <c r="D18" s="5"/>
      <c r="E18" s="5"/>
      <c r="F18" s="192"/>
      <c r="G18" s="192"/>
      <c r="H18" s="192"/>
      <c r="I18" s="192"/>
      <c r="J18" s="192"/>
      <c r="K18" s="192"/>
    </row>
    <row r="19" spans="1:11" ht="15.75">
      <c r="A19" s="5"/>
      <c r="B19" s="5"/>
      <c r="C19" s="5"/>
      <c r="D19" s="5"/>
      <c r="E19" s="5"/>
      <c r="F19" s="192"/>
      <c r="G19" s="192"/>
      <c r="H19" s="192"/>
      <c r="I19" s="192"/>
      <c r="J19" s="192"/>
      <c r="K19" s="192"/>
    </row>
    <row r="20" spans="1:11" ht="45">
      <c r="A20" s="426" t="s">
        <v>477</v>
      </c>
      <c r="B20" s="426"/>
      <c r="C20" s="426"/>
      <c r="D20" s="426"/>
      <c r="E20" s="426"/>
      <c r="F20" s="426"/>
      <c r="G20" s="426"/>
      <c r="H20" s="426"/>
      <c r="I20" s="426"/>
      <c r="J20" s="426"/>
      <c r="K20" s="356"/>
    </row>
    <row r="21" spans="1:11" ht="11.25" customHeight="1">
      <c r="A21" s="5"/>
      <c r="B21" s="5"/>
      <c r="C21" s="5"/>
      <c r="D21" s="5"/>
      <c r="E21" s="5"/>
      <c r="F21" s="192"/>
      <c r="G21" s="192"/>
      <c r="H21" s="192"/>
      <c r="I21" s="192"/>
      <c r="J21" s="192"/>
      <c r="K21" s="192"/>
    </row>
    <row r="22" spans="1:11" ht="15.75" hidden="1">
      <c r="A22" s="5"/>
      <c r="B22" s="5"/>
      <c r="C22" s="5"/>
      <c r="D22" s="5"/>
      <c r="E22" s="5"/>
      <c r="F22" s="192"/>
      <c r="G22" s="192"/>
      <c r="H22" s="192"/>
      <c r="I22" s="192"/>
      <c r="J22" s="192"/>
      <c r="K22" s="192"/>
    </row>
    <row r="23" spans="1:11" ht="15.75" hidden="1">
      <c r="A23" s="5"/>
      <c r="B23" s="5"/>
      <c r="C23" s="5"/>
      <c r="D23" s="5"/>
      <c r="E23" s="5"/>
      <c r="F23" s="192"/>
      <c r="G23" s="192"/>
      <c r="H23" s="192"/>
      <c r="I23" s="192"/>
      <c r="J23" s="192"/>
      <c r="K23" s="192"/>
    </row>
    <row r="24" spans="1:11" ht="15.75">
      <c r="A24" s="5"/>
      <c r="B24" s="5"/>
      <c r="C24" s="5"/>
      <c r="D24" s="5"/>
      <c r="E24" s="5"/>
      <c r="F24" s="192"/>
      <c r="G24" s="192"/>
      <c r="H24" s="192"/>
      <c r="I24" s="192"/>
      <c r="J24" s="192"/>
      <c r="K24" s="192"/>
    </row>
    <row r="25" spans="1:11" ht="15.75">
      <c r="A25" s="5"/>
      <c r="B25" s="5"/>
      <c r="C25" s="5"/>
      <c r="D25" s="5"/>
      <c r="E25" s="5"/>
      <c r="F25" s="192"/>
      <c r="G25" s="192"/>
      <c r="H25" s="192"/>
      <c r="I25" s="192"/>
      <c r="J25" s="192"/>
      <c r="K25" s="192"/>
    </row>
    <row r="26" spans="1:11" ht="15.75">
      <c r="A26" s="5"/>
      <c r="B26" s="5"/>
      <c r="C26" s="5"/>
      <c r="D26" s="5"/>
      <c r="E26" s="5"/>
      <c r="F26" s="192"/>
      <c r="G26" s="192"/>
      <c r="H26" s="192"/>
      <c r="I26" s="192"/>
      <c r="J26" s="192"/>
      <c r="K26" s="192"/>
    </row>
    <row r="27" spans="1:11" ht="15.75">
      <c r="A27" s="5"/>
      <c r="B27" s="5"/>
      <c r="C27" s="5"/>
      <c r="D27" s="5"/>
      <c r="E27" s="5"/>
      <c r="F27" s="192"/>
      <c r="G27" s="192"/>
      <c r="H27" s="192"/>
      <c r="I27" s="192"/>
      <c r="J27" s="192"/>
      <c r="K27" s="192"/>
    </row>
    <row r="28" spans="1:11" ht="27">
      <c r="A28" s="427" t="s">
        <v>287</v>
      </c>
      <c r="B28" s="427"/>
      <c r="C28" s="427"/>
      <c r="D28" s="427"/>
      <c r="E28" s="427"/>
      <c r="F28" s="427"/>
      <c r="G28" s="427"/>
      <c r="H28" s="427"/>
      <c r="I28" s="427"/>
      <c r="J28" s="427"/>
      <c r="K28" s="357"/>
    </row>
    <row r="29" spans="1:11" ht="15.75">
      <c r="A29" s="5"/>
      <c r="B29" s="5"/>
      <c r="C29" s="5"/>
      <c r="D29" s="5"/>
      <c r="E29" s="5"/>
      <c r="F29" s="192"/>
      <c r="G29" s="192"/>
      <c r="H29" s="192"/>
      <c r="I29" s="192"/>
      <c r="J29" s="192"/>
      <c r="K29" s="192"/>
    </row>
    <row r="30" spans="1:11" ht="15.75">
      <c r="A30" s="5"/>
      <c r="B30" s="5"/>
      <c r="C30" s="5"/>
      <c r="D30" s="5"/>
      <c r="E30" s="5"/>
      <c r="F30" s="192"/>
      <c r="G30" s="192"/>
      <c r="H30" s="192"/>
      <c r="I30" s="192"/>
      <c r="J30" s="192"/>
      <c r="K30" s="192"/>
    </row>
    <row r="31" spans="1:11" ht="12.75" customHeight="1">
      <c r="A31" s="5"/>
      <c r="B31" s="5"/>
      <c r="C31" s="5"/>
      <c r="D31" s="5"/>
      <c r="E31" s="5"/>
      <c r="F31" s="192"/>
      <c r="G31" s="192"/>
      <c r="H31" s="192"/>
      <c r="I31" s="192"/>
      <c r="J31" s="192"/>
      <c r="K31" s="192"/>
    </row>
    <row r="32" spans="1:11" ht="15.75" hidden="1">
      <c r="A32" s="5"/>
      <c r="B32" s="5"/>
      <c r="C32" s="5"/>
      <c r="D32" s="5"/>
      <c r="E32" s="5"/>
      <c r="F32" s="192"/>
      <c r="G32" s="192"/>
      <c r="H32" s="192"/>
      <c r="I32" s="192"/>
      <c r="J32" s="192"/>
      <c r="K32" s="192"/>
    </row>
    <row r="33" spans="1:11" ht="15.75" hidden="1">
      <c r="A33" s="5"/>
      <c r="B33" s="5"/>
      <c r="C33" s="5"/>
      <c r="D33" s="5"/>
      <c r="E33" s="5"/>
      <c r="F33" s="192"/>
      <c r="G33" s="192"/>
      <c r="H33" s="192"/>
      <c r="I33" s="192"/>
      <c r="J33" s="192"/>
      <c r="K33" s="192"/>
    </row>
    <row r="34" spans="1:11" ht="15.75" hidden="1">
      <c r="A34" s="5"/>
      <c r="B34" s="5"/>
      <c r="C34" s="5"/>
      <c r="D34" s="5"/>
      <c r="E34" s="5"/>
      <c r="F34" s="192"/>
      <c r="G34" s="192"/>
      <c r="H34" s="192"/>
      <c r="I34" s="192"/>
      <c r="J34" s="192"/>
      <c r="K34" s="192"/>
    </row>
    <row r="35" spans="1:11" ht="15.75">
      <c r="A35" s="41"/>
      <c r="B35" s="5"/>
      <c r="C35" s="4"/>
      <c r="D35" s="5"/>
      <c r="E35" s="41"/>
      <c r="F35" s="179"/>
      <c r="G35" s="179"/>
      <c r="H35" s="179"/>
      <c r="I35" s="179"/>
      <c r="J35" s="179"/>
      <c r="K35" s="179"/>
    </row>
    <row r="39" spans="9:13" s="5" customFormat="1" ht="12">
      <c r="I39" s="48"/>
      <c r="J39" s="17"/>
      <c r="L39" s="48"/>
      <c r="M39" s="17"/>
    </row>
    <row r="40" spans="9:13" s="5" customFormat="1" ht="12">
      <c r="I40" s="48"/>
      <c r="J40" s="17"/>
      <c r="L40" s="48"/>
      <c r="M40" s="17"/>
    </row>
    <row r="41" spans="1:13" s="5" customFormat="1" ht="12">
      <c r="A41" s="41"/>
      <c r="C41" s="4"/>
      <c r="E41" s="41"/>
      <c r="F41" s="27"/>
      <c r="G41" s="27"/>
      <c r="H41" s="27"/>
      <c r="I41" s="39"/>
      <c r="J41" s="40"/>
      <c r="K41" s="27"/>
      <c r="L41" s="39"/>
      <c r="M41" s="40"/>
    </row>
    <row r="42" spans="1:13" s="5" customFormat="1" ht="12">
      <c r="A42" s="68"/>
      <c r="I42" s="6"/>
      <c r="J42" s="17"/>
      <c r="L42" s="48"/>
      <c r="M42" s="69" t="s">
        <v>127</v>
      </c>
    </row>
    <row r="43" spans="1:13" s="5" customFormat="1" ht="12">
      <c r="A43" s="422" t="s">
        <v>126</v>
      </c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</row>
    <row r="44" spans="1:13" s="5" customFormat="1" ht="12">
      <c r="A44" s="70" t="s">
        <v>600</v>
      </c>
      <c r="I44" s="6"/>
      <c r="J44" s="17"/>
      <c r="K44" s="71"/>
      <c r="L44" s="6"/>
      <c r="M44" s="72" t="s">
        <v>346</v>
      </c>
    </row>
    <row r="45" spans="1:13" s="5" customFormat="1" ht="12">
      <c r="A45" s="15" t="s">
        <v>1</v>
      </c>
      <c r="B45" s="15" t="s">
        <v>1</v>
      </c>
      <c r="C45" s="15" t="s">
        <v>1</v>
      </c>
      <c r="D45" s="15" t="s">
        <v>1</v>
      </c>
      <c r="E45" s="15" t="s">
        <v>1</v>
      </c>
      <c r="F45" s="15" t="s">
        <v>1</v>
      </c>
      <c r="G45" s="15"/>
      <c r="H45" s="15"/>
      <c r="I45" s="16" t="s">
        <v>1</v>
      </c>
      <c r="J45" s="19" t="s">
        <v>1</v>
      </c>
      <c r="K45" s="15" t="s">
        <v>1</v>
      </c>
      <c r="L45" s="16" t="s">
        <v>1</v>
      </c>
      <c r="M45" s="19" t="s">
        <v>1</v>
      </c>
    </row>
    <row r="46" spans="1:13" s="5" customFormat="1" ht="12">
      <c r="A46" s="73" t="s">
        <v>2</v>
      </c>
      <c r="C46" s="4" t="s">
        <v>3</v>
      </c>
      <c r="E46" s="73" t="s">
        <v>2</v>
      </c>
      <c r="F46" s="1"/>
      <c r="G46" s="1"/>
      <c r="H46" s="1" t="s">
        <v>172</v>
      </c>
      <c r="I46" s="2"/>
      <c r="J46" s="3" t="s">
        <v>280</v>
      </c>
      <c r="K46" s="1"/>
      <c r="L46" s="2"/>
      <c r="M46" s="3" t="s">
        <v>289</v>
      </c>
    </row>
    <row r="47" spans="1:13" s="5" customFormat="1" ht="12">
      <c r="A47" s="73" t="s">
        <v>4</v>
      </c>
      <c r="C47" s="74" t="s">
        <v>5</v>
      </c>
      <c r="E47" s="73" t="s">
        <v>4</v>
      </c>
      <c r="F47" s="1"/>
      <c r="G47" s="1" t="s">
        <v>21</v>
      </c>
      <c r="H47" s="1" t="s">
        <v>7</v>
      </c>
      <c r="I47" s="2" t="s">
        <v>6</v>
      </c>
      <c r="J47" s="3" t="s">
        <v>7</v>
      </c>
      <c r="K47" s="1"/>
      <c r="L47" s="2" t="s">
        <v>6</v>
      </c>
      <c r="M47" s="3" t="s">
        <v>8</v>
      </c>
    </row>
    <row r="48" spans="1:13" s="5" customFormat="1" ht="12">
      <c r="A48" s="15" t="s">
        <v>1</v>
      </c>
      <c r="B48" s="15" t="s">
        <v>1</v>
      </c>
      <c r="C48" s="15" t="s">
        <v>1</v>
      </c>
      <c r="D48" s="15" t="s">
        <v>1</v>
      </c>
      <c r="E48" s="15" t="s">
        <v>1</v>
      </c>
      <c r="F48" s="15" t="s">
        <v>1</v>
      </c>
      <c r="G48" s="15"/>
      <c r="H48" s="15"/>
      <c r="I48" s="16" t="s">
        <v>1</v>
      </c>
      <c r="J48" s="19" t="s">
        <v>1</v>
      </c>
      <c r="K48" s="15" t="s">
        <v>1</v>
      </c>
      <c r="L48" s="16" t="s">
        <v>1</v>
      </c>
      <c r="M48" s="19" t="s">
        <v>1</v>
      </c>
    </row>
    <row r="49" spans="1:13" s="5" customFormat="1" ht="12">
      <c r="A49" s="41">
        <v>1</v>
      </c>
      <c r="C49" s="4" t="s">
        <v>9</v>
      </c>
      <c r="D49" s="14" t="s">
        <v>117</v>
      </c>
      <c r="E49" s="41">
        <v>1</v>
      </c>
      <c r="G49" s="43"/>
      <c r="H49" s="43">
        <v>0</v>
      </c>
      <c r="I49" s="63">
        <v>0</v>
      </c>
      <c r="J49" s="63">
        <v>0</v>
      </c>
      <c r="K49" s="43"/>
      <c r="L49" s="63">
        <v>0</v>
      </c>
      <c r="M49" s="63">
        <v>0</v>
      </c>
    </row>
    <row r="50" spans="1:13" s="5" customFormat="1" ht="12">
      <c r="A50" s="41">
        <v>2</v>
      </c>
      <c r="C50" s="4" t="s">
        <v>10</v>
      </c>
      <c r="D50" s="14" t="s">
        <v>118</v>
      </c>
      <c r="E50" s="41">
        <v>2</v>
      </c>
      <c r="G50" s="43">
        <v>0</v>
      </c>
      <c r="H50" s="43">
        <v>0</v>
      </c>
      <c r="I50" s="63">
        <v>0</v>
      </c>
      <c r="J50" s="63">
        <v>0</v>
      </c>
      <c r="K50" s="43"/>
      <c r="L50" s="63">
        <v>0</v>
      </c>
      <c r="M50" s="63">
        <v>0</v>
      </c>
    </row>
    <row r="51" spans="1:13" s="5" customFormat="1" ht="12">
      <c r="A51" s="41">
        <v>3</v>
      </c>
      <c r="C51" s="4" t="s">
        <v>11</v>
      </c>
      <c r="D51" s="14" t="s">
        <v>119</v>
      </c>
      <c r="E51" s="41">
        <v>3</v>
      </c>
      <c r="G51" s="43">
        <v>0</v>
      </c>
      <c r="H51" s="43">
        <v>0</v>
      </c>
      <c r="I51" s="63">
        <v>0</v>
      </c>
      <c r="J51" s="63">
        <v>0</v>
      </c>
      <c r="K51" s="43"/>
      <c r="L51" s="63">
        <v>0</v>
      </c>
      <c r="M51" s="63">
        <v>0</v>
      </c>
    </row>
    <row r="52" spans="1:13" s="5" customFormat="1" ht="12">
      <c r="A52" s="41">
        <v>4</v>
      </c>
      <c r="C52" s="4" t="s">
        <v>12</v>
      </c>
      <c r="D52" s="14" t="s">
        <v>120</v>
      </c>
      <c r="E52" s="41">
        <v>4</v>
      </c>
      <c r="G52" s="43">
        <v>0</v>
      </c>
      <c r="H52" s="43">
        <v>0</v>
      </c>
      <c r="I52" s="63">
        <v>0</v>
      </c>
      <c r="J52" s="63">
        <v>0</v>
      </c>
      <c r="K52" s="43"/>
      <c r="L52" s="63">
        <v>0</v>
      </c>
      <c r="M52" s="63">
        <v>0</v>
      </c>
    </row>
    <row r="53" spans="1:13" s="5" customFormat="1" ht="12">
      <c r="A53" s="41">
        <v>5</v>
      </c>
      <c r="C53" s="4" t="s">
        <v>13</v>
      </c>
      <c r="D53" s="14" t="s">
        <v>121</v>
      </c>
      <c r="E53" s="41">
        <v>5</v>
      </c>
      <c r="G53" s="43">
        <v>0</v>
      </c>
      <c r="H53" s="43">
        <v>0</v>
      </c>
      <c r="I53" s="63">
        <v>0</v>
      </c>
      <c r="J53" s="63">
        <v>0</v>
      </c>
      <c r="K53" s="43"/>
      <c r="L53" s="63">
        <v>0</v>
      </c>
      <c r="M53" s="63">
        <v>0</v>
      </c>
    </row>
    <row r="54" spans="1:13" s="5" customFormat="1" ht="12">
      <c r="A54" s="41">
        <v>6</v>
      </c>
      <c r="C54" s="4" t="s">
        <v>14</v>
      </c>
      <c r="D54" s="14" t="s">
        <v>122</v>
      </c>
      <c r="E54" s="41">
        <v>6</v>
      </c>
      <c r="G54" s="43">
        <v>0</v>
      </c>
      <c r="H54" s="43">
        <v>0</v>
      </c>
      <c r="I54" s="63">
        <v>0</v>
      </c>
      <c r="J54" s="63">
        <v>0</v>
      </c>
      <c r="K54" s="43"/>
      <c r="L54" s="63">
        <v>0</v>
      </c>
      <c r="M54" s="63">
        <v>0</v>
      </c>
    </row>
    <row r="55" spans="1:13" s="5" customFormat="1" ht="12">
      <c r="A55" s="41">
        <v>7</v>
      </c>
      <c r="C55" s="4" t="s">
        <v>59</v>
      </c>
      <c r="D55" s="14" t="s">
        <v>123</v>
      </c>
      <c r="E55" s="41">
        <v>7</v>
      </c>
      <c r="G55" s="43">
        <v>0</v>
      </c>
      <c r="H55" s="43">
        <v>0</v>
      </c>
      <c r="I55" s="63">
        <v>0</v>
      </c>
      <c r="J55" s="63">
        <v>0</v>
      </c>
      <c r="K55" s="43"/>
      <c r="L55" s="63">
        <v>0</v>
      </c>
      <c r="M55" s="63">
        <v>0</v>
      </c>
    </row>
    <row r="56" spans="1:13" s="5" customFormat="1" ht="12">
      <c r="A56" s="41">
        <v>8</v>
      </c>
      <c r="C56" s="4" t="s">
        <v>15</v>
      </c>
      <c r="D56" s="14" t="s">
        <v>124</v>
      </c>
      <c r="E56" s="41">
        <v>8</v>
      </c>
      <c r="G56" s="43">
        <v>0</v>
      </c>
      <c r="H56" s="43">
        <v>0</v>
      </c>
      <c r="I56" s="63">
        <v>0</v>
      </c>
      <c r="J56" s="63">
        <v>0</v>
      </c>
      <c r="K56" s="43"/>
      <c r="L56" s="63">
        <v>0</v>
      </c>
      <c r="M56" s="63">
        <v>0</v>
      </c>
    </row>
    <row r="57" spans="1:13" s="5" customFormat="1" ht="12">
      <c r="A57" s="41">
        <v>9</v>
      </c>
      <c r="C57" s="4" t="s">
        <v>101</v>
      </c>
      <c r="D57" s="14" t="s">
        <v>125</v>
      </c>
      <c r="E57" s="41">
        <v>9</v>
      </c>
      <c r="G57" s="43">
        <v>0</v>
      </c>
      <c r="H57" s="43">
        <v>0</v>
      </c>
      <c r="I57" s="63">
        <v>0</v>
      </c>
      <c r="J57" s="63">
        <v>0</v>
      </c>
      <c r="K57" s="43"/>
      <c r="L57" s="63">
        <v>0</v>
      </c>
      <c r="M57" s="63">
        <v>0</v>
      </c>
    </row>
    <row r="58" spans="1:13" s="5" customFormat="1" ht="12">
      <c r="A58" s="41">
        <v>10</v>
      </c>
      <c r="C58" s="4" t="s">
        <v>16</v>
      </c>
      <c r="D58" s="14" t="s">
        <v>100</v>
      </c>
      <c r="E58" s="41">
        <v>10</v>
      </c>
      <c r="G58" s="43">
        <v>0</v>
      </c>
      <c r="H58" s="43">
        <v>0</v>
      </c>
      <c r="I58" s="63">
        <v>0</v>
      </c>
      <c r="J58" s="63">
        <v>0</v>
      </c>
      <c r="K58" s="43"/>
      <c r="L58" s="63">
        <v>0</v>
      </c>
      <c r="M58" s="63">
        <v>0</v>
      </c>
    </row>
    <row r="59" spans="1:13" s="5" customFormat="1" ht="12">
      <c r="A59" s="41"/>
      <c r="C59" s="4"/>
      <c r="D59" s="14"/>
      <c r="E59" s="41"/>
      <c r="F59" s="15" t="s">
        <v>1</v>
      </c>
      <c r="G59" s="15"/>
      <c r="H59" s="15"/>
      <c r="I59" s="16" t="s">
        <v>1</v>
      </c>
      <c r="J59" s="19"/>
      <c r="K59" s="18"/>
      <c r="L59" s="16"/>
      <c r="M59" s="19"/>
    </row>
    <row r="60" spans="1:13" s="5" customFormat="1" ht="12">
      <c r="A60" s="5">
        <v>11</v>
      </c>
      <c r="C60" s="4" t="s">
        <v>265</v>
      </c>
      <c r="E60" s="5">
        <v>11</v>
      </c>
      <c r="G60" s="43">
        <f>SUM(G49:G58)</f>
        <v>0</v>
      </c>
      <c r="H60" s="43">
        <f>SUM(H49:H58)</f>
        <v>0</v>
      </c>
      <c r="I60" s="63">
        <f>SUM(I49:I58)</f>
        <v>0</v>
      </c>
      <c r="J60" s="63">
        <f>SUM(J49:J58)</f>
        <v>0</v>
      </c>
      <c r="K60" s="43"/>
      <c r="L60" s="63">
        <f>SUM(L49:L58)</f>
        <v>0</v>
      </c>
      <c r="M60" s="63">
        <f>SUM(M49:M58)</f>
        <v>0</v>
      </c>
    </row>
    <row r="61" spans="1:13" s="5" customFormat="1" ht="12">
      <c r="A61" s="41"/>
      <c r="E61" s="41"/>
      <c r="F61" s="15" t="s">
        <v>1</v>
      </c>
      <c r="G61" s="15"/>
      <c r="H61" s="15"/>
      <c r="I61" s="16" t="s">
        <v>1</v>
      </c>
      <c r="J61" s="19"/>
      <c r="K61" s="18"/>
      <c r="L61" s="16"/>
      <c r="M61" s="19"/>
    </row>
    <row r="62" spans="1:13" s="5" customFormat="1" ht="12">
      <c r="A62" s="41"/>
      <c r="E62" s="41"/>
      <c r="F62" s="15"/>
      <c r="G62" s="15"/>
      <c r="H62" s="15"/>
      <c r="I62" s="6"/>
      <c r="J62" s="19"/>
      <c r="K62" s="18"/>
      <c r="L62" s="6"/>
      <c r="M62" s="19"/>
    </row>
    <row r="63" spans="1:13" s="5" customFormat="1" ht="12">
      <c r="A63" s="5">
        <v>12</v>
      </c>
      <c r="C63" s="4" t="s">
        <v>17</v>
      </c>
      <c r="E63" s="5">
        <v>12</v>
      </c>
      <c r="G63" s="43"/>
      <c r="H63" s="43"/>
      <c r="I63" s="63"/>
      <c r="J63" s="63"/>
      <c r="K63" s="43"/>
      <c r="L63" s="63"/>
      <c r="M63" s="63"/>
    </row>
    <row r="64" spans="1:13" s="5" customFormat="1" ht="12">
      <c r="A64" s="41">
        <v>13</v>
      </c>
      <c r="C64" s="4" t="s">
        <v>226</v>
      </c>
      <c r="D64" s="14" t="s">
        <v>261</v>
      </c>
      <c r="E64" s="41">
        <v>13</v>
      </c>
      <c r="G64" s="43">
        <v>0</v>
      </c>
      <c r="H64" s="43">
        <v>0</v>
      </c>
      <c r="I64" s="43">
        <v>0</v>
      </c>
      <c r="J64" s="43">
        <v>0</v>
      </c>
      <c r="K64" s="43"/>
      <c r="L64" s="43">
        <v>0</v>
      </c>
      <c r="M64" s="43">
        <v>0</v>
      </c>
    </row>
    <row r="65" spans="1:13" s="5" customFormat="1" ht="12">
      <c r="A65" s="41">
        <v>14</v>
      </c>
      <c r="C65" s="4" t="s">
        <v>227</v>
      </c>
      <c r="D65" s="14" t="s">
        <v>262</v>
      </c>
      <c r="E65" s="41">
        <v>14</v>
      </c>
      <c r="G65" s="43">
        <v>0</v>
      </c>
      <c r="H65" s="43">
        <f>H196</f>
        <v>0</v>
      </c>
      <c r="I65" s="43">
        <v>0</v>
      </c>
      <c r="J65" s="43">
        <f>J196</f>
        <v>0</v>
      </c>
      <c r="K65" s="43"/>
      <c r="L65" s="43">
        <v>0</v>
      </c>
      <c r="M65" s="43">
        <f>M196</f>
        <v>0</v>
      </c>
    </row>
    <row r="66" spans="1:13" s="5" customFormat="1" ht="12">
      <c r="A66" s="41">
        <v>15</v>
      </c>
      <c r="C66" s="4" t="s">
        <v>256</v>
      </c>
      <c r="D66" s="14"/>
      <c r="E66" s="41">
        <v>15</v>
      </c>
      <c r="G66" s="43"/>
      <c r="H66" s="43">
        <v>0</v>
      </c>
      <c r="I66" s="43"/>
      <c r="J66" s="43">
        <v>0</v>
      </c>
      <c r="K66" s="43"/>
      <c r="L66" s="43"/>
      <c r="M66" s="43">
        <v>0</v>
      </c>
    </row>
    <row r="67" spans="1:13" s="5" customFormat="1" ht="12">
      <c r="A67" s="41">
        <v>16</v>
      </c>
      <c r="C67" s="4" t="s">
        <v>255</v>
      </c>
      <c r="D67" s="14"/>
      <c r="E67" s="41">
        <v>16</v>
      </c>
      <c r="G67" s="43"/>
      <c r="H67" s="43">
        <v>0</v>
      </c>
      <c r="I67" s="43"/>
      <c r="J67" s="43">
        <v>0</v>
      </c>
      <c r="K67" s="43"/>
      <c r="L67" s="43"/>
      <c r="M67" s="43">
        <v>0</v>
      </c>
    </row>
    <row r="68" spans="1:256" s="5" customFormat="1" ht="12">
      <c r="A68" s="14">
        <v>17</v>
      </c>
      <c r="B68" s="14"/>
      <c r="C68" s="75" t="s">
        <v>257</v>
      </c>
      <c r="D68" s="14"/>
      <c r="E68" s="14">
        <v>17</v>
      </c>
      <c r="F68" s="14"/>
      <c r="G68" s="63">
        <v>0</v>
      </c>
      <c r="H68" s="63">
        <f>SUM(H66:H67)</f>
        <v>0</v>
      </c>
      <c r="I68" s="63">
        <v>0</v>
      </c>
      <c r="J68" s="63">
        <f>SUM(J66:J67)</f>
        <v>0</v>
      </c>
      <c r="K68" s="75"/>
      <c r="L68" s="63">
        <v>0</v>
      </c>
      <c r="M68" s="63">
        <f>SUM(M66:M67)</f>
        <v>0</v>
      </c>
      <c r="N68" s="14"/>
      <c r="O68" s="75"/>
      <c r="P68" s="14"/>
      <c r="Q68" s="75"/>
      <c r="R68" s="14"/>
      <c r="S68" s="75"/>
      <c r="T68" s="14"/>
      <c r="U68" s="75"/>
      <c r="V68" s="14"/>
      <c r="W68" s="75"/>
      <c r="X68" s="14"/>
      <c r="Y68" s="75"/>
      <c r="Z68" s="14"/>
      <c r="AA68" s="75"/>
      <c r="AB68" s="14"/>
      <c r="AC68" s="75"/>
      <c r="AD68" s="14"/>
      <c r="AE68" s="75"/>
      <c r="AF68" s="14"/>
      <c r="AG68" s="75"/>
      <c r="AH68" s="14"/>
      <c r="AI68" s="75"/>
      <c r="AJ68" s="14"/>
      <c r="AK68" s="75"/>
      <c r="AL68" s="14"/>
      <c r="AM68" s="75"/>
      <c r="AN68" s="14"/>
      <c r="AO68" s="75"/>
      <c r="AP68" s="14"/>
      <c r="AQ68" s="75"/>
      <c r="AR68" s="14"/>
      <c r="AS68" s="75"/>
      <c r="AT68" s="14"/>
      <c r="AU68" s="75"/>
      <c r="AV68" s="14"/>
      <c r="AW68" s="75"/>
      <c r="AX68" s="14"/>
      <c r="AY68" s="75"/>
      <c r="AZ68" s="14"/>
      <c r="BA68" s="75"/>
      <c r="BB68" s="14"/>
      <c r="BC68" s="75"/>
      <c r="BD68" s="14"/>
      <c r="BE68" s="75"/>
      <c r="BF68" s="14"/>
      <c r="BG68" s="75"/>
      <c r="BH68" s="14"/>
      <c r="BI68" s="75"/>
      <c r="BJ68" s="14"/>
      <c r="BK68" s="75"/>
      <c r="BL68" s="14"/>
      <c r="BM68" s="75"/>
      <c r="BN68" s="14"/>
      <c r="BO68" s="75"/>
      <c r="BP68" s="14"/>
      <c r="BQ68" s="75"/>
      <c r="BR68" s="14"/>
      <c r="BS68" s="75"/>
      <c r="BT68" s="14"/>
      <c r="BU68" s="75"/>
      <c r="BV68" s="14"/>
      <c r="BW68" s="75"/>
      <c r="BX68" s="14"/>
      <c r="BY68" s="75"/>
      <c r="BZ68" s="14"/>
      <c r="CA68" s="75"/>
      <c r="CB68" s="14"/>
      <c r="CC68" s="75"/>
      <c r="CD68" s="14"/>
      <c r="CE68" s="75"/>
      <c r="CF68" s="14"/>
      <c r="CG68" s="75"/>
      <c r="CH68" s="14"/>
      <c r="CI68" s="75"/>
      <c r="CJ68" s="14"/>
      <c r="CK68" s="75"/>
      <c r="CL68" s="14"/>
      <c r="CM68" s="75"/>
      <c r="CN68" s="14"/>
      <c r="CO68" s="75"/>
      <c r="CP68" s="14"/>
      <c r="CQ68" s="75"/>
      <c r="CR68" s="14"/>
      <c r="CS68" s="75"/>
      <c r="CT68" s="14"/>
      <c r="CU68" s="75"/>
      <c r="CV68" s="14"/>
      <c r="CW68" s="75"/>
      <c r="CX68" s="14"/>
      <c r="CY68" s="75"/>
      <c r="CZ68" s="14"/>
      <c r="DA68" s="75"/>
      <c r="DB68" s="14"/>
      <c r="DC68" s="75"/>
      <c r="DD68" s="14"/>
      <c r="DE68" s="75"/>
      <c r="DF68" s="14"/>
      <c r="DG68" s="75"/>
      <c r="DH68" s="14"/>
      <c r="DI68" s="75"/>
      <c r="DJ68" s="14"/>
      <c r="DK68" s="75"/>
      <c r="DL68" s="14"/>
      <c r="DM68" s="75"/>
      <c r="DN68" s="14"/>
      <c r="DO68" s="75"/>
      <c r="DP68" s="14"/>
      <c r="DQ68" s="75"/>
      <c r="DR68" s="14"/>
      <c r="DS68" s="75"/>
      <c r="DT68" s="14"/>
      <c r="DU68" s="75"/>
      <c r="DV68" s="14"/>
      <c r="DW68" s="75"/>
      <c r="DX68" s="14"/>
      <c r="DY68" s="75"/>
      <c r="DZ68" s="14"/>
      <c r="EA68" s="75"/>
      <c r="EB68" s="14"/>
      <c r="EC68" s="75"/>
      <c r="ED68" s="14"/>
      <c r="EE68" s="75"/>
      <c r="EF68" s="14"/>
      <c r="EG68" s="75"/>
      <c r="EH68" s="14"/>
      <c r="EI68" s="75"/>
      <c r="EJ68" s="14"/>
      <c r="EK68" s="75"/>
      <c r="EL68" s="14"/>
      <c r="EM68" s="75"/>
      <c r="EN68" s="14"/>
      <c r="EO68" s="75"/>
      <c r="EP68" s="14"/>
      <c r="EQ68" s="75"/>
      <c r="ER68" s="14"/>
      <c r="ES68" s="75"/>
      <c r="ET68" s="14"/>
      <c r="EU68" s="75"/>
      <c r="EV68" s="14"/>
      <c r="EW68" s="75"/>
      <c r="EX68" s="14"/>
      <c r="EY68" s="75"/>
      <c r="EZ68" s="14"/>
      <c r="FA68" s="75"/>
      <c r="FB68" s="14"/>
      <c r="FC68" s="75"/>
      <c r="FD68" s="14"/>
      <c r="FE68" s="75"/>
      <c r="FF68" s="14"/>
      <c r="FG68" s="75"/>
      <c r="FH68" s="14"/>
      <c r="FI68" s="75"/>
      <c r="FJ68" s="14"/>
      <c r="FK68" s="75"/>
      <c r="FL68" s="14"/>
      <c r="FM68" s="75"/>
      <c r="FN68" s="14"/>
      <c r="FO68" s="75"/>
      <c r="FP68" s="14"/>
      <c r="FQ68" s="75"/>
      <c r="FR68" s="14"/>
      <c r="FS68" s="75"/>
      <c r="FT68" s="14"/>
      <c r="FU68" s="75"/>
      <c r="FV68" s="14"/>
      <c r="FW68" s="75"/>
      <c r="FX68" s="14"/>
      <c r="FY68" s="75"/>
      <c r="FZ68" s="14"/>
      <c r="GA68" s="75"/>
      <c r="GB68" s="14"/>
      <c r="GC68" s="75"/>
      <c r="GD68" s="14"/>
      <c r="GE68" s="75"/>
      <c r="GF68" s="14"/>
      <c r="GG68" s="75"/>
      <c r="GH68" s="14"/>
      <c r="GI68" s="75"/>
      <c r="GJ68" s="14"/>
      <c r="GK68" s="75"/>
      <c r="GL68" s="14"/>
      <c r="GM68" s="75"/>
      <c r="GN68" s="14"/>
      <c r="GO68" s="75"/>
      <c r="GP68" s="14"/>
      <c r="GQ68" s="75"/>
      <c r="GR68" s="14"/>
      <c r="GS68" s="75"/>
      <c r="GT68" s="14"/>
      <c r="GU68" s="75"/>
      <c r="GV68" s="14"/>
      <c r="GW68" s="75"/>
      <c r="GX68" s="14"/>
      <c r="GY68" s="75"/>
      <c r="GZ68" s="14"/>
      <c r="HA68" s="75"/>
      <c r="HB68" s="14"/>
      <c r="HC68" s="75"/>
      <c r="HD68" s="14"/>
      <c r="HE68" s="75"/>
      <c r="HF68" s="14"/>
      <c r="HG68" s="75"/>
      <c r="HH68" s="14"/>
      <c r="HI68" s="75"/>
      <c r="HJ68" s="14"/>
      <c r="HK68" s="75"/>
      <c r="HL68" s="14"/>
      <c r="HM68" s="75"/>
      <c r="HN68" s="14"/>
      <c r="HO68" s="75"/>
      <c r="HP68" s="14"/>
      <c r="HQ68" s="75"/>
      <c r="HR68" s="14"/>
      <c r="HS68" s="75"/>
      <c r="HT68" s="14"/>
      <c r="HU68" s="75"/>
      <c r="HV68" s="14"/>
      <c r="HW68" s="75"/>
      <c r="HX68" s="14"/>
      <c r="HY68" s="75"/>
      <c r="HZ68" s="14"/>
      <c r="IA68" s="75"/>
      <c r="IB68" s="14"/>
      <c r="IC68" s="75"/>
      <c r="ID68" s="14"/>
      <c r="IE68" s="75"/>
      <c r="IF68" s="14"/>
      <c r="IG68" s="75"/>
      <c r="IH68" s="14"/>
      <c r="II68" s="75"/>
      <c r="IJ68" s="14"/>
      <c r="IK68" s="75"/>
      <c r="IL68" s="14"/>
      <c r="IM68" s="75"/>
      <c r="IN68" s="14"/>
      <c r="IO68" s="75"/>
      <c r="IP68" s="14"/>
      <c r="IQ68" s="75"/>
      <c r="IR68" s="14"/>
      <c r="IS68" s="75"/>
      <c r="IT68" s="14"/>
      <c r="IU68" s="75"/>
      <c r="IV68" s="14"/>
    </row>
    <row r="69" spans="1:13" s="5" customFormat="1" ht="12">
      <c r="A69" s="41">
        <v>18</v>
      </c>
      <c r="C69" s="4" t="s">
        <v>258</v>
      </c>
      <c r="D69" s="14"/>
      <c r="E69" s="41">
        <v>18</v>
      </c>
      <c r="G69" s="43">
        <v>0</v>
      </c>
      <c r="H69" s="43">
        <v>0</v>
      </c>
      <c r="I69" s="43">
        <v>0</v>
      </c>
      <c r="J69" s="43">
        <v>0</v>
      </c>
      <c r="K69" s="43"/>
      <c r="L69" s="43">
        <v>0</v>
      </c>
      <c r="M69" s="43">
        <v>0</v>
      </c>
    </row>
    <row r="70" spans="1:13" s="5" customFormat="1" ht="12">
      <c r="A70" s="41">
        <v>19</v>
      </c>
      <c r="C70" s="4" t="s">
        <v>195</v>
      </c>
      <c r="D70" s="14"/>
      <c r="E70" s="41">
        <v>19</v>
      </c>
      <c r="G70" s="43">
        <v>0</v>
      </c>
      <c r="H70" s="43">
        <v>0</v>
      </c>
      <c r="I70" s="43">
        <v>0</v>
      </c>
      <c r="J70" s="43">
        <v>0</v>
      </c>
      <c r="K70" s="43"/>
      <c r="L70" s="43">
        <v>0</v>
      </c>
      <c r="M70" s="43">
        <v>0</v>
      </c>
    </row>
    <row r="71" spans="1:13" s="5" customFormat="1" ht="12">
      <c r="A71" s="41">
        <v>20</v>
      </c>
      <c r="C71" s="4" t="s">
        <v>173</v>
      </c>
      <c r="D71" s="14"/>
      <c r="E71" s="41">
        <v>20</v>
      </c>
      <c r="G71" s="43">
        <v>0</v>
      </c>
      <c r="H71" s="43">
        <f>H68+H69+H70</f>
        <v>0</v>
      </c>
      <c r="I71" s="43">
        <v>0</v>
      </c>
      <c r="J71" s="43">
        <f>J68+J69+J70</f>
        <v>0</v>
      </c>
      <c r="K71" s="43"/>
      <c r="L71" s="43">
        <v>0</v>
      </c>
      <c r="M71" s="43">
        <f>M68+M69+M70</f>
        <v>0</v>
      </c>
    </row>
    <row r="72" spans="1:13" s="5" customFormat="1" ht="12">
      <c r="A72" s="41">
        <v>21</v>
      </c>
      <c r="C72" s="4" t="s">
        <v>248</v>
      </c>
      <c r="D72" s="14"/>
      <c r="E72" s="41">
        <v>21</v>
      </c>
      <c r="G72" s="43">
        <v>0</v>
      </c>
      <c r="H72" s="43">
        <v>0</v>
      </c>
      <c r="I72" s="43">
        <v>0</v>
      </c>
      <c r="J72" s="43">
        <v>0</v>
      </c>
      <c r="K72" s="43"/>
      <c r="L72" s="43">
        <v>0</v>
      </c>
      <c r="M72" s="43">
        <v>0</v>
      </c>
    </row>
    <row r="73" spans="1:13" s="5" customFormat="1" ht="12">
      <c r="A73" s="41">
        <v>22</v>
      </c>
      <c r="C73" s="7"/>
      <c r="E73" s="41">
        <v>22</v>
      </c>
      <c r="F73" s="15" t="s">
        <v>1</v>
      </c>
      <c r="G73" s="15"/>
      <c r="H73" s="15"/>
      <c r="I73" s="16"/>
      <c r="J73" s="19"/>
      <c r="K73" s="18"/>
      <c r="L73" s="16"/>
      <c r="M73" s="19"/>
    </row>
    <row r="74" spans="1:13" s="5" customFormat="1" ht="12">
      <c r="A74" s="41">
        <v>23</v>
      </c>
      <c r="C74" s="5" t="s">
        <v>199</v>
      </c>
      <c r="D74" s="76"/>
      <c r="E74" s="41">
        <v>23</v>
      </c>
      <c r="F74" s="77"/>
      <c r="G74" s="78"/>
      <c r="H74" s="78">
        <f>SUM(H64,H65,H71)</f>
        <v>0</v>
      </c>
      <c r="I74" s="78"/>
      <c r="J74" s="78">
        <f>SUM(J64,J65,J71)</f>
        <v>0</v>
      </c>
      <c r="K74" s="78"/>
      <c r="L74" s="78"/>
      <c r="M74" s="78">
        <f>SUM(M64,M65,M71)</f>
        <v>0</v>
      </c>
    </row>
    <row r="75" spans="1:13" s="5" customFormat="1" ht="12">
      <c r="A75" s="41">
        <v>24</v>
      </c>
      <c r="C75" s="7"/>
      <c r="D75" s="4"/>
      <c r="E75" s="41">
        <v>24</v>
      </c>
      <c r="I75" s="48"/>
      <c r="J75" s="17"/>
      <c r="L75" s="48"/>
      <c r="M75" s="17"/>
    </row>
    <row r="76" spans="1:13" s="5" customFormat="1" ht="12">
      <c r="A76" s="41">
        <v>25</v>
      </c>
      <c r="C76" s="4" t="s">
        <v>219</v>
      </c>
      <c r="D76" s="14"/>
      <c r="E76" s="41">
        <v>25</v>
      </c>
      <c r="G76" s="43"/>
      <c r="H76" s="43">
        <v>0</v>
      </c>
      <c r="I76" s="43"/>
      <c r="J76" s="43">
        <v>0</v>
      </c>
      <c r="K76" s="43"/>
      <c r="L76" s="43"/>
      <c r="M76" s="43">
        <v>0</v>
      </c>
    </row>
    <row r="77" spans="1:13" s="5" customFormat="1" ht="12">
      <c r="A77" s="5">
        <v>26</v>
      </c>
      <c r="E77" s="5">
        <v>26</v>
      </c>
      <c r="F77" s="15" t="s">
        <v>1</v>
      </c>
      <c r="G77" s="15"/>
      <c r="H77" s="15"/>
      <c r="I77" s="16"/>
      <c r="J77" s="19"/>
      <c r="K77" s="18"/>
      <c r="L77" s="16"/>
      <c r="M77" s="19"/>
    </row>
    <row r="78" spans="1:13" s="5" customFormat="1" ht="12">
      <c r="A78" s="41">
        <v>27</v>
      </c>
      <c r="C78" s="4" t="s">
        <v>266</v>
      </c>
      <c r="E78" s="41">
        <v>27</v>
      </c>
      <c r="F78" s="71"/>
      <c r="G78" s="63"/>
      <c r="H78" s="63">
        <f>SUM(H74,H76)</f>
        <v>0</v>
      </c>
      <c r="I78" s="63"/>
      <c r="J78" s="63">
        <f>SUM(J74,J76)</f>
        <v>0</v>
      </c>
      <c r="K78" s="63"/>
      <c r="L78" s="63"/>
      <c r="M78" s="63">
        <f>SUM(M74,M76)</f>
        <v>0</v>
      </c>
    </row>
    <row r="79" spans="3:13" s="5" customFormat="1" ht="12">
      <c r="C79" s="5" t="s">
        <v>102</v>
      </c>
      <c r="D79" s="14"/>
      <c r="F79" s="15"/>
      <c r="G79" s="15"/>
      <c r="H79" s="15"/>
      <c r="I79" s="16"/>
      <c r="J79" s="17"/>
      <c r="K79" s="18"/>
      <c r="L79" s="16"/>
      <c r="M79" s="19"/>
    </row>
    <row r="80" spans="6:13" s="5" customFormat="1" ht="12">
      <c r="F80" s="15"/>
      <c r="G80" s="15"/>
      <c r="H80" s="15"/>
      <c r="I80" s="16"/>
      <c r="J80" s="19"/>
      <c r="K80" s="18"/>
      <c r="L80" s="16"/>
      <c r="M80" s="19"/>
    </row>
    <row r="82" spans="1:15" s="5" customFormat="1" ht="12" customHeight="1">
      <c r="A82" s="68" t="s">
        <v>478</v>
      </c>
      <c r="G82" s="89"/>
      <c r="J82" s="189"/>
      <c r="K82" s="189"/>
      <c r="M82" s="189" t="s">
        <v>18</v>
      </c>
      <c r="O82" s="109"/>
    </row>
    <row r="83" spans="1:15" s="5" customFormat="1" ht="12" customHeight="1">
      <c r="A83" s="430" t="s">
        <v>19</v>
      </c>
      <c r="B83" s="430"/>
      <c r="C83" s="430"/>
      <c r="D83" s="430"/>
      <c r="E83" s="430"/>
      <c r="F83" s="430"/>
      <c r="G83" s="430"/>
      <c r="H83" s="430"/>
      <c r="I83" s="430"/>
      <c r="J83" s="430"/>
      <c r="K83" s="178"/>
      <c r="O83" s="109"/>
    </row>
    <row r="84" spans="1:15" s="5" customFormat="1" ht="12" customHeight="1">
      <c r="A84" s="68" t="s">
        <v>479</v>
      </c>
      <c r="G84" s="89"/>
      <c r="I84" s="86"/>
      <c r="J84" s="190"/>
      <c r="K84" s="190"/>
      <c r="L84" s="86"/>
      <c r="M84" s="228" t="s">
        <v>480</v>
      </c>
      <c r="O84" s="109"/>
    </row>
    <row r="85" spans="1:15" s="5" customFormat="1" ht="12" customHeight="1">
      <c r="A85" s="15" t="s">
        <v>1</v>
      </c>
      <c r="B85" s="15" t="s">
        <v>1</v>
      </c>
      <c r="C85" s="15" t="s">
        <v>1</v>
      </c>
      <c r="D85" s="15" t="s">
        <v>1</v>
      </c>
      <c r="E85" s="15" t="s">
        <v>1</v>
      </c>
      <c r="F85" s="15" t="s">
        <v>1</v>
      </c>
      <c r="G85" s="24" t="s">
        <v>1</v>
      </c>
      <c r="H85" s="15" t="s">
        <v>1</v>
      </c>
      <c r="I85" s="15" t="s">
        <v>1</v>
      </c>
      <c r="J85" s="15" t="s">
        <v>1</v>
      </c>
      <c r="K85" s="15"/>
      <c r="L85" s="15" t="s">
        <v>1</v>
      </c>
      <c r="M85" s="15" t="s">
        <v>1</v>
      </c>
      <c r="O85" s="109"/>
    </row>
    <row r="86" spans="1:15" s="5" customFormat="1" ht="12" customHeight="1">
      <c r="A86" s="73" t="s">
        <v>2</v>
      </c>
      <c r="C86" s="4" t="s">
        <v>3</v>
      </c>
      <c r="E86" s="73" t="s">
        <v>2</v>
      </c>
      <c r="F86" s="1"/>
      <c r="G86" s="175"/>
      <c r="H86" s="123" t="s">
        <v>172</v>
      </c>
      <c r="I86" s="175"/>
      <c r="J86" s="123" t="s">
        <v>280</v>
      </c>
      <c r="K86" s="123"/>
      <c r="L86" s="175"/>
      <c r="M86" s="123" t="s">
        <v>289</v>
      </c>
      <c r="O86" s="109"/>
    </row>
    <row r="87" spans="1:15" s="5" customFormat="1" ht="12" customHeight="1">
      <c r="A87" s="73" t="s">
        <v>4</v>
      </c>
      <c r="C87" s="74" t="s">
        <v>5</v>
      </c>
      <c r="E87" s="73" t="s">
        <v>4</v>
      </c>
      <c r="F87" s="1"/>
      <c r="G87" s="175" t="s">
        <v>6</v>
      </c>
      <c r="H87" s="123" t="s">
        <v>7</v>
      </c>
      <c r="I87" s="178" t="s">
        <v>6</v>
      </c>
      <c r="J87" s="123" t="s">
        <v>7</v>
      </c>
      <c r="K87" s="123"/>
      <c r="L87" s="178" t="s">
        <v>6</v>
      </c>
      <c r="M87" s="123" t="s">
        <v>8</v>
      </c>
      <c r="O87" s="109"/>
    </row>
    <row r="88" spans="1:15" s="5" customFormat="1" ht="12" customHeight="1">
      <c r="A88" s="15" t="s">
        <v>1</v>
      </c>
      <c r="B88" s="15" t="s">
        <v>1</v>
      </c>
      <c r="C88" s="15" t="s">
        <v>1</v>
      </c>
      <c r="D88" s="15" t="s">
        <v>1</v>
      </c>
      <c r="E88" s="15" t="s">
        <v>1</v>
      </c>
      <c r="F88" s="15" t="s">
        <v>1</v>
      </c>
      <c r="G88" s="24"/>
      <c r="H88" s="15"/>
      <c r="I88" s="15" t="s">
        <v>1</v>
      </c>
      <c r="J88" s="15" t="s">
        <v>1</v>
      </c>
      <c r="K88" s="15"/>
      <c r="L88" s="15" t="s">
        <v>1</v>
      </c>
      <c r="M88" s="15" t="s">
        <v>1</v>
      </c>
      <c r="O88" s="109"/>
    </row>
    <row r="89" spans="1:15" s="5" customFormat="1" ht="12" customHeight="1">
      <c r="A89" s="41">
        <v>1</v>
      </c>
      <c r="C89" s="4" t="s">
        <v>9</v>
      </c>
      <c r="D89" s="14" t="s">
        <v>117</v>
      </c>
      <c r="E89" s="41">
        <v>1</v>
      </c>
      <c r="G89" s="89">
        <f>+G635</f>
        <v>453.29999999999995</v>
      </c>
      <c r="H89" s="86">
        <f>+H635</f>
        <v>51477037</v>
      </c>
      <c r="I89" s="89">
        <f>+I635</f>
        <v>463.8723023885219</v>
      </c>
      <c r="J89" s="86">
        <f>+J635</f>
        <v>55354305</v>
      </c>
      <c r="K89" s="86"/>
      <c r="L89" s="89">
        <f>+L635</f>
        <v>488.89</v>
      </c>
      <c r="M89" s="86">
        <f>+M635</f>
        <v>58236270</v>
      </c>
      <c r="O89" s="109"/>
    </row>
    <row r="90" spans="1:15" s="5" customFormat="1" ht="12" customHeight="1">
      <c r="A90" s="41">
        <v>2</v>
      </c>
      <c r="C90" s="4" t="s">
        <v>10</v>
      </c>
      <c r="D90" s="14" t="s">
        <v>118</v>
      </c>
      <c r="E90" s="41">
        <v>2</v>
      </c>
      <c r="G90" s="89">
        <f>+G673</f>
        <v>2</v>
      </c>
      <c r="H90" s="86">
        <f>+H673</f>
        <v>169162</v>
      </c>
      <c r="I90" s="89">
        <f>+I673</f>
        <v>1</v>
      </c>
      <c r="J90" s="86">
        <f>+J673</f>
        <v>45374</v>
      </c>
      <c r="K90" s="86"/>
      <c r="L90" s="89">
        <f>+L673</f>
        <v>0.01</v>
      </c>
      <c r="M90" s="86">
        <f>+M673</f>
        <v>852</v>
      </c>
      <c r="O90" s="109"/>
    </row>
    <row r="91" spans="1:15" s="5" customFormat="1" ht="12" customHeight="1">
      <c r="A91" s="41">
        <v>3</v>
      </c>
      <c r="C91" s="4" t="s">
        <v>11</v>
      </c>
      <c r="D91" s="14" t="s">
        <v>119</v>
      </c>
      <c r="E91" s="41">
        <v>3</v>
      </c>
      <c r="G91" s="89">
        <f>+G710</f>
        <v>1.1</v>
      </c>
      <c r="H91" s="86">
        <f>+H710</f>
        <v>145268</v>
      </c>
      <c r="I91" s="89">
        <f>+I710</f>
        <v>0.91</v>
      </c>
      <c r="J91" s="229">
        <f>+J710</f>
        <v>147278</v>
      </c>
      <c r="K91" s="229"/>
      <c r="L91" s="89">
        <f>+L710</f>
        <v>0.1</v>
      </c>
      <c r="M91" s="229">
        <f>+M710</f>
        <v>12000</v>
      </c>
      <c r="O91" s="109"/>
    </row>
    <row r="92" spans="1:15" s="5" customFormat="1" ht="12" customHeight="1">
      <c r="A92" s="41">
        <v>4</v>
      </c>
      <c r="C92" s="4" t="s">
        <v>12</v>
      </c>
      <c r="D92" s="14" t="s">
        <v>120</v>
      </c>
      <c r="E92" s="41">
        <v>4</v>
      </c>
      <c r="G92" s="89">
        <f>+G747</f>
        <v>145.95</v>
      </c>
      <c r="H92" s="86">
        <f>+H747</f>
        <v>17181275</v>
      </c>
      <c r="I92" s="89">
        <f>+I747</f>
        <v>146.3621723135475</v>
      </c>
      <c r="J92" s="86">
        <f>+J747</f>
        <v>16806888</v>
      </c>
      <c r="K92" s="86"/>
      <c r="L92" s="89">
        <f>+L747</f>
        <v>144.90000000000003</v>
      </c>
      <c r="M92" s="86">
        <f>+M747</f>
        <v>19320873</v>
      </c>
      <c r="O92" s="109"/>
    </row>
    <row r="93" spans="1:15" s="5" customFormat="1" ht="12" customHeight="1">
      <c r="A93" s="41">
        <v>5</v>
      </c>
      <c r="C93" s="4" t="s">
        <v>13</v>
      </c>
      <c r="D93" s="14" t="s">
        <v>121</v>
      </c>
      <c r="E93" s="41">
        <v>5</v>
      </c>
      <c r="G93" s="89">
        <f>+G784</f>
        <v>33.62</v>
      </c>
      <c r="H93" s="86">
        <f>+H784</f>
        <v>2432440</v>
      </c>
      <c r="I93" s="89">
        <f>+I784</f>
        <v>26.88632962898903</v>
      </c>
      <c r="J93" s="86">
        <f>+J784</f>
        <v>2009559</v>
      </c>
      <c r="K93" s="86"/>
      <c r="L93" s="89">
        <f>+L784</f>
        <v>28.81</v>
      </c>
      <c r="M93" s="86">
        <f>+M784</f>
        <v>2103967</v>
      </c>
      <c r="O93" s="109"/>
    </row>
    <row r="94" spans="1:15" s="5" customFormat="1" ht="12" customHeight="1">
      <c r="A94" s="41">
        <v>6</v>
      </c>
      <c r="C94" s="4" t="s">
        <v>14</v>
      </c>
      <c r="D94" s="14" t="s">
        <v>122</v>
      </c>
      <c r="E94" s="41">
        <v>6</v>
      </c>
      <c r="G94" s="89">
        <f>+G821</f>
        <v>228.9</v>
      </c>
      <c r="H94" s="86">
        <f>+H821</f>
        <v>23341820</v>
      </c>
      <c r="I94" s="89">
        <f>+I821</f>
        <v>247.29853634809186</v>
      </c>
      <c r="J94" s="86">
        <f>+J821</f>
        <v>24861914</v>
      </c>
      <c r="K94" s="86"/>
      <c r="L94" s="89">
        <f>+L821</f>
        <v>244.56000000000003</v>
      </c>
      <c r="M94" s="86">
        <f>+M821</f>
        <v>27232341</v>
      </c>
      <c r="O94" s="109"/>
    </row>
    <row r="95" spans="1:15" s="5" customFormat="1" ht="12" customHeight="1">
      <c r="A95" s="41">
        <v>7</v>
      </c>
      <c r="C95" s="4" t="s">
        <v>59</v>
      </c>
      <c r="D95" s="14" t="s">
        <v>123</v>
      </c>
      <c r="E95" s="41">
        <v>7</v>
      </c>
      <c r="G95" s="89">
        <f>+G849</f>
        <v>206.03</v>
      </c>
      <c r="H95" s="86">
        <f>+H849</f>
        <v>23800001</v>
      </c>
      <c r="I95" s="89">
        <f>+I849</f>
        <v>211.75203367905195</v>
      </c>
      <c r="J95" s="86">
        <f>+J849</f>
        <v>24232380</v>
      </c>
      <c r="K95" s="86"/>
      <c r="L95" s="89">
        <f>+L849</f>
        <v>197.06</v>
      </c>
      <c r="M95" s="86">
        <f>+M849</f>
        <v>26485593</v>
      </c>
      <c r="O95" s="109"/>
    </row>
    <row r="96" spans="1:15" s="5" customFormat="1" ht="12" customHeight="1">
      <c r="A96" s="41">
        <v>8</v>
      </c>
      <c r="C96" s="4" t="s">
        <v>15</v>
      </c>
      <c r="D96" s="14" t="s">
        <v>124</v>
      </c>
      <c r="E96" s="41">
        <v>8</v>
      </c>
      <c r="G96" s="89">
        <f>+G907</f>
        <v>0</v>
      </c>
      <c r="H96" s="86">
        <f>+H907</f>
        <v>2218224</v>
      </c>
      <c r="I96" s="89">
        <f>+I907</f>
        <v>0</v>
      </c>
      <c r="J96" s="86">
        <f>+J907</f>
        <v>2109472</v>
      </c>
      <c r="K96" s="86"/>
      <c r="L96" s="89">
        <f>+L907</f>
        <v>0</v>
      </c>
      <c r="M96" s="86">
        <f>+M907</f>
        <v>2225962</v>
      </c>
      <c r="O96" s="109"/>
    </row>
    <row r="97" spans="1:15" s="5" customFormat="1" ht="12" customHeight="1">
      <c r="A97" s="41">
        <v>9</v>
      </c>
      <c r="C97" s="4" t="s">
        <v>101</v>
      </c>
      <c r="D97" s="14" t="s">
        <v>125</v>
      </c>
      <c r="E97" s="41">
        <v>9</v>
      </c>
      <c r="G97" s="89">
        <f>+G947</f>
        <v>0</v>
      </c>
      <c r="H97" s="86">
        <f>+H947</f>
        <v>-20</v>
      </c>
      <c r="I97" s="89">
        <f>+I947</f>
        <v>0</v>
      </c>
      <c r="J97" s="229">
        <f>+J947</f>
        <v>795</v>
      </c>
      <c r="K97" s="229"/>
      <c r="L97" s="89">
        <f>+L947</f>
        <v>0</v>
      </c>
      <c r="M97" s="229">
        <f>+M947</f>
        <v>0</v>
      </c>
      <c r="O97" s="109"/>
    </row>
    <row r="98" spans="1:15" s="5" customFormat="1" ht="12" customHeight="1">
      <c r="A98" s="41">
        <v>10</v>
      </c>
      <c r="C98" s="4" t="s">
        <v>16</v>
      </c>
      <c r="D98" s="14" t="s">
        <v>100</v>
      </c>
      <c r="E98" s="41">
        <v>10</v>
      </c>
      <c r="G98" s="89">
        <f>+G983</f>
        <v>0</v>
      </c>
      <c r="H98" s="86">
        <f>+H983</f>
        <v>23896279</v>
      </c>
      <c r="I98" s="89">
        <f>+I983</f>
        <v>0</v>
      </c>
      <c r="J98" s="86">
        <f>+J983</f>
        <v>31200008</v>
      </c>
      <c r="K98" s="86"/>
      <c r="L98" s="89">
        <f>+L983</f>
        <v>0</v>
      </c>
      <c r="M98" s="86">
        <f>+M983</f>
        <v>31281562</v>
      </c>
      <c r="O98" s="109"/>
    </row>
    <row r="99" spans="1:15" s="5" customFormat="1" ht="12" customHeight="1">
      <c r="A99" s="41"/>
      <c r="D99" s="14"/>
      <c r="E99" s="41"/>
      <c r="F99" s="15" t="s">
        <v>1</v>
      </c>
      <c r="G99" s="24" t="s">
        <v>1</v>
      </c>
      <c r="H99" s="176" t="s">
        <v>1</v>
      </c>
      <c r="I99" s="24" t="s">
        <v>1</v>
      </c>
      <c r="J99" s="176" t="s">
        <v>1</v>
      </c>
      <c r="K99" s="176"/>
      <c r="L99" s="24" t="s">
        <v>1</v>
      </c>
      <c r="M99" s="176" t="s">
        <v>1</v>
      </c>
      <c r="O99" s="109"/>
    </row>
    <row r="100" spans="1:15" s="5" customFormat="1" ht="12" customHeight="1">
      <c r="A100" s="5">
        <v>11</v>
      </c>
      <c r="C100" s="4" t="s">
        <v>647</v>
      </c>
      <c r="E100" s="5">
        <v>11</v>
      </c>
      <c r="G100" s="89">
        <f>SUM(G89:G98)</f>
        <v>1070.8999999999999</v>
      </c>
      <c r="H100" s="86">
        <f>SUM(H89:H98)</f>
        <v>144661486</v>
      </c>
      <c r="I100" s="89">
        <f>SUM(I89:I98)</f>
        <v>1098.0813743582023</v>
      </c>
      <c r="J100" s="86">
        <f>SUM(J89:J98)</f>
        <v>156767973</v>
      </c>
      <c r="K100" s="86"/>
      <c r="L100" s="89">
        <f>SUM(L89:L98)</f>
        <v>1104.3300000000002</v>
      </c>
      <c r="M100" s="86">
        <f>SUM(M89:M99)</f>
        <v>166899420</v>
      </c>
      <c r="O100" s="109"/>
    </row>
    <row r="101" spans="1:15" s="5" customFormat="1" ht="12" customHeight="1">
      <c r="A101" s="41"/>
      <c r="F101" s="15" t="s">
        <v>1</v>
      </c>
      <c r="G101" s="24"/>
      <c r="H101" s="176"/>
      <c r="I101" s="24" t="s">
        <v>1</v>
      </c>
      <c r="J101" s="176" t="s">
        <v>1</v>
      </c>
      <c r="K101" s="176"/>
      <c r="L101" s="24" t="s">
        <v>1</v>
      </c>
      <c r="M101" s="176" t="s">
        <v>1</v>
      </c>
      <c r="O101" s="109"/>
    </row>
    <row r="102" spans="1:15" s="5" customFormat="1" ht="12" customHeight="1">
      <c r="A102" s="41"/>
      <c r="F102" s="15"/>
      <c r="G102" s="71"/>
      <c r="H102" s="230"/>
      <c r="I102" s="71"/>
      <c r="J102" s="230"/>
      <c r="K102" s="230"/>
      <c r="L102" s="71"/>
      <c r="M102" s="230"/>
      <c r="O102" s="109"/>
    </row>
    <row r="103" spans="1:15" s="5" customFormat="1" ht="12" customHeight="1">
      <c r="A103" s="5">
        <v>12</v>
      </c>
      <c r="C103" s="4" t="s">
        <v>17</v>
      </c>
      <c r="E103" s="5">
        <v>12</v>
      </c>
      <c r="G103" s="71"/>
      <c r="H103" s="86"/>
      <c r="I103" s="71"/>
      <c r="J103" s="86"/>
      <c r="K103" s="86"/>
      <c r="L103" s="71"/>
      <c r="M103" s="86"/>
      <c r="O103" s="109"/>
    </row>
    <row r="104" spans="1:15" s="5" customFormat="1" ht="12" customHeight="1">
      <c r="A104" s="41">
        <v>13</v>
      </c>
      <c r="C104" s="4" t="s">
        <v>226</v>
      </c>
      <c r="D104" s="14" t="s">
        <v>481</v>
      </c>
      <c r="E104" s="41">
        <v>13</v>
      </c>
      <c r="G104" s="77"/>
      <c r="H104" s="86">
        <f>+H559</f>
        <v>0</v>
      </c>
      <c r="I104" s="77"/>
      <c r="J104" s="86">
        <f>J106</f>
        <v>1248032</v>
      </c>
      <c r="K104" s="86"/>
      <c r="L104" s="77"/>
      <c r="M104" s="86">
        <f>+M538</f>
        <v>8553701</v>
      </c>
      <c r="O104" s="109"/>
    </row>
    <row r="105" spans="1:15" s="5" customFormat="1" ht="12" customHeight="1">
      <c r="A105" s="41">
        <f aca="true" t="shared" si="0" ref="A105:A118">A104+1</f>
        <v>14</v>
      </c>
      <c r="C105" s="4" t="s">
        <v>482</v>
      </c>
      <c r="D105" s="14" t="s">
        <v>483</v>
      </c>
      <c r="E105" s="41">
        <f aca="true" t="shared" si="1" ref="E105:E118">A105</f>
        <v>14</v>
      </c>
      <c r="G105" s="77"/>
      <c r="H105" s="86">
        <f>+H570</f>
        <v>56523258</v>
      </c>
      <c r="I105" s="77"/>
      <c r="J105" s="86">
        <f>+J570</f>
        <v>60171681</v>
      </c>
      <c r="K105" s="86"/>
      <c r="L105" s="77"/>
      <c r="M105" s="86">
        <f>+M570+M571</f>
        <v>61368920</v>
      </c>
      <c r="O105" s="109"/>
    </row>
    <row r="106" spans="1:15" s="5" customFormat="1" ht="12" customHeight="1">
      <c r="A106" s="41">
        <f t="shared" si="0"/>
        <v>15</v>
      </c>
      <c r="C106" s="4" t="s">
        <v>256</v>
      </c>
      <c r="D106" s="14"/>
      <c r="E106" s="41">
        <f t="shared" si="1"/>
        <v>15</v>
      </c>
      <c r="G106" s="77"/>
      <c r="H106" s="86">
        <f>+H561</f>
        <v>0</v>
      </c>
      <c r="I106" s="77"/>
      <c r="J106" s="86">
        <f>+J535</f>
        <v>1248032</v>
      </c>
      <c r="K106" s="86"/>
      <c r="L106" s="77"/>
      <c r="M106" s="86">
        <f>+M535</f>
        <v>1184033</v>
      </c>
      <c r="O106" s="109"/>
    </row>
    <row r="107" spans="1:15" s="5" customFormat="1" ht="12" customHeight="1">
      <c r="A107" s="41">
        <f t="shared" si="0"/>
        <v>16</v>
      </c>
      <c r="C107" s="4" t="s">
        <v>255</v>
      </c>
      <c r="D107" s="14"/>
      <c r="E107" s="41">
        <f t="shared" si="1"/>
        <v>16</v>
      </c>
      <c r="G107" s="77"/>
      <c r="H107" s="86">
        <f>+H404</f>
        <v>4643219</v>
      </c>
      <c r="I107" s="77"/>
      <c r="J107" s="86">
        <f>+J404-J106</f>
        <v>4753359</v>
      </c>
      <c r="K107" s="86"/>
      <c r="L107" s="77"/>
      <c r="M107" s="86">
        <f>+M404-M106</f>
        <v>5384964</v>
      </c>
      <c r="O107" s="109"/>
    </row>
    <row r="108" spans="1:15" s="5" customFormat="1" ht="12" customHeight="1">
      <c r="A108" s="41">
        <f t="shared" si="0"/>
        <v>17</v>
      </c>
      <c r="C108" s="75" t="s">
        <v>257</v>
      </c>
      <c r="D108" s="14"/>
      <c r="E108" s="41">
        <f t="shared" si="1"/>
        <v>17</v>
      </c>
      <c r="G108" s="77"/>
      <c r="H108" s="86">
        <f>+H107+H106</f>
        <v>4643219</v>
      </c>
      <c r="I108" s="77"/>
      <c r="J108" s="86">
        <f>+J107+J106</f>
        <v>6001391</v>
      </c>
      <c r="K108" s="86"/>
      <c r="L108" s="77"/>
      <c r="M108" s="86">
        <f>+M107+M106</f>
        <v>6568997</v>
      </c>
      <c r="O108" s="109"/>
    </row>
    <row r="109" spans="1:15" s="5" customFormat="1" ht="12" customHeight="1">
      <c r="A109" s="41">
        <f t="shared" si="0"/>
        <v>18</v>
      </c>
      <c r="C109" s="4" t="s">
        <v>258</v>
      </c>
      <c r="D109" s="14"/>
      <c r="E109" s="41">
        <f t="shared" si="1"/>
        <v>18</v>
      </c>
      <c r="G109" s="77"/>
      <c r="H109" s="86">
        <f>+H403</f>
        <v>21833370</v>
      </c>
      <c r="I109" s="77"/>
      <c r="J109" s="86">
        <f>+J403</f>
        <v>24859278</v>
      </c>
      <c r="K109" s="86"/>
      <c r="L109" s="77"/>
      <c r="M109" s="86">
        <f>+M403</f>
        <v>25388738</v>
      </c>
      <c r="O109" s="109"/>
    </row>
    <row r="110" spans="1:15" s="5" customFormat="1" ht="12" customHeight="1">
      <c r="A110" s="41">
        <f t="shared" si="0"/>
        <v>19</v>
      </c>
      <c r="C110" s="4" t="s">
        <v>195</v>
      </c>
      <c r="D110" s="14"/>
      <c r="E110" s="41">
        <f t="shared" si="1"/>
        <v>19</v>
      </c>
      <c r="G110" s="77"/>
      <c r="H110" s="86">
        <f>H409</f>
        <v>7707375</v>
      </c>
      <c r="I110" s="77"/>
      <c r="J110" s="86">
        <f>J409</f>
        <v>7561938</v>
      </c>
      <c r="K110" s="86"/>
      <c r="L110" s="77"/>
      <c r="M110" s="86">
        <f>M409</f>
        <v>7422861</v>
      </c>
      <c r="O110" s="109"/>
    </row>
    <row r="111" spans="1:15" s="5" customFormat="1" ht="12" customHeight="1">
      <c r="A111" s="41">
        <f t="shared" si="0"/>
        <v>20</v>
      </c>
      <c r="C111" s="4" t="s">
        <v>173</v>
      </c>
      <c r="D111" s="14"/>
      <c r="E111" s="41">
        <f t="shared" si="1"/>
        <v>20</v>
      </c>
      <c r="G111" s="77"/>
      <c r="H111" s="86">
        <f>SUM(H108:H110)</f>
        <v>34183964</v>
      </c>
      <c r="I111" s="176"/>
      <c r="J111" s="86">
        <f>+J110+J109+J108</f>
        <v>38422607</v>
      </c>
      <c r="K111" s="86"/>
      <c r="L111" s="176"/>
      <c r="M111" s="86">
        <f>+M110+M109+M108</f>
        <v>39380596</v>
      </c>
      <c r="N111" s="176"/>
      <c r="O111" s="227"/>
    </row>
    <row r="112" spans="1:15" s="5" customFormat="1" ht="12" customHeight="1">
      <c r="A112" s="41">
        <f t="shared" si="0"/>
        <v>21</v>
      </c>
      <c r="C112" s="4" t="s">
        <v>484</v>
      </c>
      <c r="E112" s="41">
        <f t="shared" si="1"/>
        <v>21</v>
      </c>
      <c r="F112" s="15"/>
      <c r="G112" s="24"/>
      <c r="H112" s="86">
        <f>H451</f>
        <v>10074347</v>
      </c>
      <c r="I112" s="24"/>
      <c r="J112" s="86">
        <f>+J451</f>
        <v>11695319</v>
      </c>
      <c r="K112" s="86"/>
      <c r="L112" s="24"/>
      <c r="M112" s="86">
        <f>+M451</f>
        <v>10414425</v>
      </c>
      <c r="O112" s="109"/>
    </row>
    <row r="113" spans="1:15" s="5" customFormat="1" ht="12" customHeight="1">
      <c r="A113" s="41">
        <f t="shared" si="0"/>
        <v>22</v>
      </c>
      <c r="C113" s="4"/>
      <c r="D113" s="76"/>
      <c r="E113" s="41">
        <f t="shared" si="1"/>
        <v>22</v>
      </c>
      <c r="F113" s="106"/>
      <c r="G113" s="177"/>
      <c r="H113" s="86"/>
      <c r="I113" s="177"/>
      <c r="J113" s="86"/>
      <c r="K113" s="86"/>
      <c r="L113" s="177"/>
      <c r="M113" s="86"/>
      <c r="O113" s="109"/>
    </row>
    <row r="114" spans="1:15" s="5" customFormat="1" ht="12" customHeight="1">
      <c r="A114" s="41">
        <f t="shared" si="0"/>
        <v>23</v>
      </c>
      <c r="C114" s="5" t="s">
        <v>199</v>
      </c>
      <c r="D114" s="76"/>
      <c r="E114" s="41">
        <f t="shared" si="1"/>
        <v>23</v>
      </c>
      <c r="F114" s="106"/>
      <c r="G114" s="177"/>
      <c r="H114" s="86"/>
      <c r="I114" s="177"/>
      <c r="J114" s="86"/>
      <c r="K114" s="86"/>
      <c r="L114" s="177"/>
      <c r="M114" s="86"/>
      <c r="O114" s="109"/>
    </row>
    <row r="115" spans="1:15" s="5" customFormat="1" ht="12" customHeight="1">
      <c r="A115" s="41">
        <f t="shared" si="0"/>
        <v>24</v>
      </c>
      <c r="C115" s="4"/>
      <c r="D115" s="76"/>
      <c r="E115" s="41">
        <f t="shared" si="1"/>
        <v>24</v>
      </c>
      <c r="F115" s="106"/>
      <c r="G115" s="177"/>
      <c r="H115" s="86"/>
      <c r="I115" s="177"/>
      <c r="J115" s="86"/>
      <c r="K115" s="86"/>
      <c r="L115" s="177"/>
      <c r="M115" s="86"/>
      <c r="O115" s="109"/>
    </row>
    <row r="116" spans="1:15" s="5" customFormat="1" ht="12" customHeight="1">
      <c r="A116" s="41">
        <f t="shared" si="0"/>
        <v>25</v>
      </c>
      <c r="C116" s="4" t="s">
        <v>485</v>
      </c>
      <c r="D116" s="4"/>
      <c r="E116" s="41">
        <f t="shared" si="1"/>
        <v>25</v>
      </c>
      <c r="H116" s="86"/>
      <c r="J116" s="86"/>
      <c r="K116" s="86"/>
      <c r="M116" s="86"/>
      <c r="O116" s="109"/>
    </row>
    <row r="117" spans="1:15" s="5" customFormat="1" ht="12" customHeight="1">
      <c r="A117" s="41">
        <f t="shared" si="0"/>
        <v>26</v>
      </c>
      <c r="D117" s="14" t="s">
        <v>486</v>
      </c>
      <c r="E117" s="41">
        <f t="shared" si="1"/>
        <v>26</v>
      </c>
      <c r="H117" s="86">
        <f>H491</f>
        <v>43879917</v>
      </c>
      <c r="J117" s="86">
        <f>J491</f>
        <v>46478366</v>
      </c>
      <c r="K117" s="86"/>
      <c r="M117" s="86">
        <f>M491</f>
        <v>47181778</v>
      </c>
      <c r="O117" s="109"/>
    </row>
    <row r="118" spans="1:15" s="5" customFormat="1" ht="12" customHeight="1">
      <c r="A118" s="41">
        <f t="shared" si="0"/>
        <v>27</v>
      </c>
      <c r="C118" s="4" t="s">
        <v>266</v>
      </c>
      <c r="E118" s="41">
        <f t="shared" si="1"/>
        <v>27</v>
      </c>
      <c r="G118" s="25"/>
      <c r="H118" s="86">
        <f>H117+H112+H111+H104+H105</f>
        <v>144661486</v>
      </c>
      <c r="I118" s="71"/>
      <c r="J118" s="86">
        <f>J117+J112+J111+J104+J105</f>
        <v>158016005</v>
      </c>
      <c r="K118" s="86"/>
      <c r="L118" s="71"/>
      <c r="M118" s="86">
        <f>M117+M112+M111+M104+M105</f>
        <v>166899420</v>
      </c>
      <c r="O118" s="109"/>
    </row>
    <row r="119" spans="6:15" s="5" customFormat="1" ht="12" customHeight="1">
      <c r="F119" s="15" t="s">
        <v>1</v>
      </c>
      <c r="G119" s="18" t="s">
        <v>1</v>
      </c>
      <c r="H119" s="176" t="s">
        <v>1</v>
      </c>
      <c r="I119" s="18" t="s">
        <v>1</v>
      </c>
      <c r="J119" s="176" t="s">
        <v>1</v>
      </c>
      <c r="K119" s="176"/>
      <c r="L119" s="18" t="s">
        <v>1</v>
      </c>
      <c r="M119" s="176" t="s">
        <v>1</v>
      </c>
      <c r="O119" s="109"/>
    </row>
    <row r="120" spans="6:15" s="5" customFormat="1" ht="12" customHeight="1">
      <c r="F120" s="15"/>
      <c r="G120" s="18"/>
      <c r="H120" s="123">
        <f>+H118-H100</f>
        <v>0</v>
      </c>
      <c r="I120" s="231"/>
      <c r="J120" s="123">
        <f>+J118-J100</f>
        <v>1248032</v>
      </c>
      <c r="K120" s="123"/>
      <c r="L120" s="231"/>
      <c r="M120" s="123">
        <f>+M118-M100</f>
        <v>0</v>
      </c>
      <c r="O120" s="109"/>
    </row>
    <row r="121" spans="3:15" s="5" customFormat="1" ht="12" customHeight="1">
      <c r="C121" s="5" t="s">
        <v>102</v>
      </c>
      <c r="D121" s="14"/>
      <c r="F121" s="15"/>
      <c r="G121" s="18"/>
      <c r="H121" s="192">
        <v>4841864</v>
      </c>
      <c r="I121" s="18"/>
      <c r="J121" s="192">
        <f>4414266+378171</f>
        <v>4792437</v>
      </c>
      <c r="K121" s="192"/>
      <c r="L121" s="18"/>
      <c r="M121" s="192">
        <v>4970419</v>
      </c>
      <c r="O121" s="109"/>
    </row>
    <row r="122" spans="4:17" s="5" customFormat="1" ht="12">
      <c r="D122" s="14"/>
      <c r="F122" s="15"/>
      <c r="G122" s="15"/>
      <c r="H122" s="15"/>
      <c r="I122" s="16"/>
      <c r="J122" s="17"/>
      <c r="K122" s="18"/>
      <c r="L122" s="16"/>
      <c r="M122" s="19"/>
      <c r="O122" s="33"/>
      <c r="P122" s="193"/>
      <c r="Q122" s="86"/>
    </row>
    <row r="123" spans="5:17" s="5" customFormat="1" ht="12">
      <c r="E123" s="38"/>
      <c r="I123" s="48"/>
      <c r="J123" s="17"/>
      <c r="L123" s="48"/>
      <c r="M123" s="17"/>
      <c r="O123" s="33"/>
      <c r="P123" s="193"/>
      <c r="Q123" s="86"/>
    </row>
    <row r="124" spans="9:17" s="5" customFormat="1" ht="12">
      <c r="I124" s="48"/>
      <c r="J124" s="17"/>
      <c r="L124" s="48"/>
      <c r="M124" s="17"/>
      <c r="O124" s="33"/>
      <c r="P124" s="193"/>
      <c r="Q124" s="86"/>
    </row>
    <row r="125" spans="1:17" s="5" customFormat="1" ht="12">
      <c r="A125" s="70" t="str">
        <f>$A$82</f>
        <v>Institution No.:  GFE </v>
      </c>
      <c r="B125" s="21"/>
      <c r="C125" s="21"/>
      <c r="D125" s="21"/>
      <c r="E125" s="20"/>
      <c r="F125" s="21"/>
      <c r="G125" s="21"/>
      <c r="H125" s="21"/>
      <c r="I125" s="22"/>
      <c r="J125" s="23"/>
      <c r="K125" s="21"/>
      <c r="L125" s="22"/>
      <c r="M125" s="69" t="s">
        <v>293</v>
      </c>
      <c r="O125" s="33"/>
      <c r="P125" s="193"/>
      <c r="Q125" s="86"/>
    </row>
    <row r="126" spans="1:17" s="5" customFormat="1" ht="12">
      <c r="A126" s="423" t="s">
        <v>291</v>
      </c>
      <c r="B126" s="423"/>
      <c r="C126" s="423"/>
      <c r="D126" s="423"/>
      <c r="E126" s="423"/>
      <c r="F126" s="423"/>
      <c r="G126" s="423"/>
      <c r="H126" s="423"/>
      <c r="I126" s="423"/>
      <c r="J126" s="423"/>
      <c r="K126" s="423"/>
      <c r="L126" s="423"/>
      <c r="M126" s="423"/>
      <c r="O126" s="33"/>
      <c r="P126" s="193"/>
      <c r="Q126" s="86"/>
    </row>
    <row r="127" spans="1:17" s="5" customFormat="1" ht="12">
      <c r="A127" s="188" t="str">
        <f>$A$44</f>
        <v>NAME: UNIVERSITY OF COLORADO </v>
      </c>
      <c r="I127" s="48"/>
      <c r="J127" s="25"/>
      <c r="L127" s="6"/>
      <c r="M127" s="72">
        <f>$M$3</f>
        <v>0</v>
      </c>
      <c r="O127" s="33"/>
      <c r="P127" s="193"/>
      <c r="Q127" s="86"/>
    </row>
    <row r="128" spans="1:17" s="5" customFormat="1" ht="12">
      <c r="A128" s="15" t="s">
        <v>1</v>
      </c>
      <c r="B128" s="15" t="s">
        <v>1</v>
      </c>
      <c r="C128" s="15" t="s">
        <v>1</v>
      </c>
      <c r="D128" s="15" t="s">
        <v>1</v>
      </c>
      <c r="E128" s="15" t="s">
        <v>1</v>
      </c>
      <c r="F128" s="15" t="s">
        <v>1</v>
      </c>
      <c r="G128" s="15"/>
      <c r="H128" s="15"/>
      <c r="I128" s="16" t="s">
        <v>1</v>
      </c>
      <c r="J128" s="19" t="s">
        <v>1</v>
      </c>
      <c r="K128" s="15" t="s">
        <v>1</v>
      </c>
      <c r="L128" s="16" t="s">
        <v>1</v>
      </c>
      <c r="M128" s="19" t="s">
        <v>1</v>
      </c>
      <c r="O128" s="33"/>
      <c r="P128" s="193"/>
      <c r="Q128" s="86"/>
    </row>
    <row r="129" spans="1:17" s="5" customFormat="1" ht="12">
      <c r="A129" s="73" t="s">
        <v>2</v>
      </c>
      <c r="E129" s="73" t="s">
        <v>2</v>
      </c>
      <c r="F129" s="1"/>
      <c r="G129" s="1"/>
      <c r="H129" s="1" t="s">
        <v>172</v>
      </c>
      <c r="I129" s="2"/>
      <c r="J129" s="3" t="s">
        <v>280</v>
      </c>
      <c r="K129" s="1"/>
      <c r="L129" s="2"/>
      <c r="M129" s="3" t="s">
        <v>289</v>
      </c>
      <c r="O129" s="33"/>
      <c r="P129" s="193"/>
      <c r="Q129" s="86"/>
    </row>
    <row r="130" spans="1:17" s="5" customFormat="1" ht="12">
      <c r="A130" s="73" t="s">
        <v>4</v>
      </c>
      <c r="C130" s="74" t="s">
        <v>20</v>
      </c>
      <c r="E130" s="73" t="s">
        <v>4</v>
      </c>
      <c r="F130" s="1"/>
      <c r="G130" s="1"/>
      <c r="H130" s="1" t="s">
        <v>7</v>
      </c>
      <c r="I130" s="2"/>
      <c r="J130" s="3" t="s">
        <v>7</v>
      </c>
      <c r="K130" s="1"/>
      <c r="L130" s="2"/>
      <c r="M130" s="3" t="s">
        <v>8</v>
      </c>
      <c r="O130" s="33"/>
      <c r="P130" s="193"/>
      <c r="Q130" s="86"/>
    </row>
    <row r="131" spans="1:17" s="5" customFormat="1" ht="12">
      <c r="A131" s="15" t="s">
        <v>1</v>
      </c>
      <c r="B131" s="15" t="s">
        <v>1</v>
      </c>
      <c r="C131" s="15" t="s">
        <v>1</v>
      </c>
      <c r="D131" s="15" t="s">
        <v>1</v>
      </c>
      <c r="E131" s="15" t="s">
        <v>1</v>
      </c>
      <c r="F131" s="15" t="s">
        <v>1</v>
      </c>
      <c r="G131" s="15"/>
      <c r="H131" s="15"/>
      <c r="I131" s="16" t="s">
        <v>1</v>
      </c>
      <c r="J131" s="19" t="s">
        <v>1</v>
      </c>
      <c r="K131" s="15" t="s">
        <v>1</v>
      </c>
      <c r="L131" s="16" t="s">
        <v>1</v>
      </c>
      <c r="M131" s="19" t="s">
        <v>1</v>
      </c>
      <c r="O131" s="33"/>
      <c r="P131" s="193"/>
      <c r="Q131" s="86"/>
    </row>
    <row r="132" spans="1:17" s="5" customFormat="1" ht="12">
      <c r="A132" s="5">
        <v>1</v>
      </c>
      <c r="C132" s="5" t="s">
        <v>222</v>
      </c>
      <c r="E132" s="5">
        <v>1</v>
      </c>
      <c r="I132" s="48"/>
      <c r="J132" s="17"/>
      <c r="L132" s="48"/>
      <c r="M132" s="17"/>
      <c r="O132" s="33"/>
      <c r="P132" s="193"/>
      <c r="Q132" s="86"/>
    </row>
    <row r="133" spans="1:17" s="5" customFormat="1" ht="12">
      <c r="A133" s="5">
        <v>2</v>
      </c>
      <c r="C133" s="5" t="s">
        <v>208</v>
      </c>
      <c r="E133" s="5">
        <v>2</v>
      </c>
      <c r="I133" s="48"/>
      <c r="J133" s="17"/>
      <c r="L133" s="48"/>
      <c r="M133" s="17"/>
      <c r="O133" s="33"/>
      <c r="P133" s="193"/>
      <c r="Q133" s="86"/>
    </row>
    <row r="134" spans="1:17" s="5" customFormat="1" ht="12">
      <c r="A134" s="5">
        <v>3</v>
      </c>
      <c r="C134" s="5" t="s">
        <v>209</v>
      </c>
      <c r="E134" s="5">
        <v>3</v>
      </c>
      <c r="I134" s="48"/>
      <c r="J134" s="17"/>
      <c r="L134" s="48"/>
      <c r="M134" s="17"/>
      <c r="O134" s="33"/>
      <c r="P134" s="193"/>
      <c r="Q134" s="86"/>
    </row>
    <row r="135" spans="1:17" s="5" customFormat="1" ht="12">
      <c r="A135" s="5">
        <v>4</v>
      </c>
      <c r="C135" s="5" t="s">
        <v>210</v>
      </c>
      <c r="E135" s="5">
        <v>4</v>
      </c>
      <c r="I135" s="48"/>
      <c r="J135" s="17"/>
      <c r="L135" s="48"/>
      <c r="M135" s="17"/>
      <c r="O135" s="33"/>
      <c r="P135" s="193"/>
      <c r="Q135" s="86"/>
    </row>
    <row r="136" spans="1:17" s="5" customFormat="1" ht="12">
      <c r="A136" s="5">
        <v>5</v>
      </c>
      <c r="C136" s="5" t="s">
        <v>211</v>
      </c>
      <c r="E136" s="5">
        <v>5</v>
      </c>
      <c r="I136" s="48"/>
      <c r="J136" s="17"/>
      <c r="L136" s="48"/>
      <c r="M136" s="17"/>
      <c r="O136" s="33"/>
      <c r="P136" s="193"/>
      <c r="Q136" s="86"/>
    </row>
    <row r="137" spans="1:17" s="5" customFormat="1" ht="12">
      <c r="A137" s="5">
        <v>6</v>
      </c>
      <c r="C137" s="5" t="s">
        <v>212</v>
      </c>
      <c r="E137" s="5">
        <v>6</v>
      </c>
      <c r="I137" s="48"/>
      <c r="J137" s="17"/>
      <c r="L137" s="48"/>
      <c r="M137" s="17"/>
      <c r="O137" s="33"/>
      <c r="P137" s="193"/>
      <c r="Q137" s="86"/>
    </row>
    <row r="138" spans="1:17" s="5" customFormat="1" ht="12">
      <c r="A138" s="5">
        <v>7</v>
      </c>
      <c r="C138" s="5" t="s">
        <v>213</v>
      </c>
      <c r="E138" s="5">
        <v>7</v>
      </c>
      <c r="I138" s="48"/>
      <c r="J138" s="17"/>
      <c r="L138" s="48"/>
      <c r="M138" s="17"/>
      <c r="O138" s="33"/>
      <c r="P138" s="193"/>
      <c r="Q138" s="86"/>
    </row>
    <row r="139" spans="1:17" s="5" customFormat="1" ht="12">
      <c r="A139" s="5">
        <v>8</v>
      </c>
      <c r="C139" s="5" t="s">
        <v>214</v>
      </c>
      <c r="E139" s="5">
        <v>8</v>
      </c>
      <c r="I139" s="48"/>
      <c r="J139" s="17"/>
      <c r="L139" s="48"/>
      <c r="M139" s="17"/>
      <c r="O139" s="33"/>
      <c r="P139" s="193"/>
      <c r="Q139" s="86"/>
    </row>
    <row r="140" spans="1:17" s="5" customFormat="1" ht="12">
      <c r="A140" s="5">
        <v>9</v>
      </c>
      <c r="C140" s="5" t="s">
        <v>215</v>
      </c>
      <c r="E140" s="5">
        <v>9</v>
      </c>
      <c r="I140" s="48"/>
      <c r="J140" s="17"/>
      <c r="L140" s="48"/>
      <c r="M140" s="17"/>
      <c r="O140" s="33"/>
      <c r="P140" s="193"/>
      <c r="Q140" s="86"/>
    </row>
    <row r="141" spans="1:17" s="5" customFormat="1" ht="12">
      <c r="A141" s="5">
        <v>10</v>
      </c>
      <c r="C141" s="5" t="s">
        <v>216</v>
      </c>
      <c r="E141" s="5">
        <v>10</v>
      </c>
      <c r="I141" s="48"/>
      <c r="J141" s="17"/>
      <c r="L141" s="48"/>
      <c r="M141" s="17"/>
      <c r="O141" s="33"/>
      <c r="P141" s="193"/>
      <c r="Q141" s="86"/>
    </row>
    <row r="142" spans="1:17" s="5" customFormat="1" ht="12">
      <c r="A142" s="5">
        <v>11</v>
      </c>
      <c r="C142" s="5" t="s">
        <v>217</v>
      </c>
      <c r="E142" s="5">
        <v>11</v>
      </c>
      <c r="I142" s="48"/>
      <c r="J142" s="17"/>
      <c r="L142" s="48"/>
      <c r="M142" s="17"/>
      <c r="O142" s="33"/>
      <c r="P142" s="193"/>
      <c r="Q142" s="86"/>
    </row>
    <row r="143" spans="3:17" s="5" customFormat="1" ht="12">
      <c r="C143" s="5" t="s">
        <v>218</v>
      </c>
      <c r="E143" s="38"/>
      <c r="I143" s="48"/>
      <c r="J143" s="17"/>
      <c r="L143" s="48"/>
      <c r="M143" s="17"/>
      <c r="O143" s="33"/>
      <c r="P143" s="193"/>
      <c r="Q143" s="86"/>
    </row>
    <row r="144" spans="1:17" s="5" customFormat="1" ht="12">
      <c r="A144" s="5">
        <v>12</v>
      </c>
      <c r="C144" s="5" t="s">
        <v>223</v>
      </c>
      <c r="E144" s="38">
        <v>12</v>
      </c>
      <c r="H144" s="5">
        <f>SUM(H132:H142)</f>
        <v>0</v>
      </c>
      <c r="I144" s="48"/>
      <c r="J144" s="5">
        <f>SUM(J132:J142)</f>
        <v>0</v>
      </c>
      <c r="L144" s="48"/>
      <c r="M144" s="17">
        <f>SUM(M132:M142)</f>
        <v>0</v>
      </c>
      <c r="O144" s="33"/>
      <c r="P144" s="193"/>
      <c r="Q144" s="86"/>
    </row>
    <row r="145" spans="5:17" s="5" customFormat="1" ht="12">
      <c r="E145" s="38"/>
      <c r="I145" s="48"/>
      <c r="J145" s="17"/>
      <c r="L145" s="48"/>
      <c r="M145" s="17"/>
      <c r="O145" s="33"/>
      <c r="P145" s="193"/>
      <c r="Q145" s="86"/>
    </row>
    <row r="146" spans="5:17" s="5" customFormat="1" ht="12">
      <c r="E146" s="38"/>
      <c r="I146" s="48"/>
      <c r="J146" s="17"/>
      <c r="L146" s="48"/>
      <c r="M146" s="17"/>
      <c r="O146" s="33"/>
      <c r="P146" s="193"/>
      <c r="Q146" s="86"/>
    </row>
    <row r="147" spans="5:17" s="5" customFormat="1" ht="12">
      <c r="E147" s="38"/>
      <c r="I147" s="48"/>
      <c r="J147" s="17"/>
      <c r="L147" s="48"/>
      <c r="M147" s="17"/>
      <c r="O147" s="33"/>
      <c r="P147" s="193"/>
      <c r="Q147" s="86"/>
    </row>
    <row r="148" spans="5:17" s="5" customFormat="1" ht="12">
      <c r="E148" s="38"/>
      <c r="I148" s="48"/>
      <c r="J148" s="17"/>
      <c r="L148" s="48"/>
      <c r="M148" s="17"/>
      <c r="O148" s="33"/>
      <c r="P148" s="193"/>
      <c r="Q148" s="86"/>
    </row>
    <row r="149" spans="5:17" s="5" customFormat="1" ht="12">
      <c r="E149" s="38"/>
      <c r="I149" s="48"/>
      <c r="J149" s="17"/>
      <c r="L149" s="48"/>
      <c r="M149" s="17"/>
      <c r="O149" s="33"/>
      <c r="P149" s="193"/>
      <c r="Q149" s="86"/>
    </row>
    <row r="150" spans="5:17" s="5" customFormat="1" ht="12">
      <c r="E150" s="38"/>
      <c r="I150" s="48"/>
      <c r="J150" s="17"/>
      <c r="L150" s="48"/>
      <c r="M150" s="17"/>
      <c r="O150" s="33"/>
      <c r="P150" s="193"/>
      <c r="Q150" s="86"/>
    </row>
    <row r="151" spans="5:17" s="5" customFormat="1" ht="12">
      <c r="E151" s="38"/>
      <c r="I151" s="48"/>
      <c r="J151" s="17"/>
      <c r="L151" s="48"/>
      <c r="M151" s="17"/>
      <c r="O151" s="33"/>
      <c r="P151" s="193"/>
      <c r="Q151" s="86"/>
    </row>
    <row r="152" spans="5:17" s="5" customFormat="1" ht="12">
      <c r="E152" s="38"/>
      <c r="I152" s="48"/>
      <c r="J152" s="17"/>
      <c r="L152" s="48"/>
      <c r="M152" s="17"/>
      <c r="O152" s="33"/>
      <c r="P152" s="193"/>
      <c r="Q152" s="86"/>
    </row>
    <row r="153" spans="5:17" s="5" customFormat="1" ht="12" hidden="1">
      <c r="E153" s="38"/>
      <c r="I153" s="48"/>
      <c r="J153" s="17"/>
      <c r="L153" s="48"/>
      <c r="M153" s="17"/>
      <c r="O153" s="33"/>
      <c r="P153" s="193"/>
      <c r="Q153" s="86"/>
    </row>
    <row r="154" spans="5:17" s="5" customFormat="1" ht="12" hidden="1">
      <c r="E154" s="38"/>
      <c r="I154" s="48"/>
      <c r="J154" s="17"/>
      <c r="L154" s="48"/>
      <c r="M154" s="17"/>
      <c r="O154" s="33"/>
      <c r="P154" s="193"/>
      <c r="Q154" s="86"/>
    </row>
    <row r="155" spans="5:17" s="5" customFormat="1" ht="3" customHeight="1" hidden="1">
      <c r="E155" s="38"/>
      <c r="I155" s="48"/>
      <c r="J155" s="17"/>
      <c r="L155" s="48"/>
      <c r="M155" s="17"/>
      <c r="O155" s="33"/>
      <c r="P155" s="193"/>
      <c r="Q155" s="86"/>
    </row>
    <row r="156" spans="5:17" s="5" customFormat="1" ht="12" hidden="1">
      <c r="E156" s="38"/>
      <c r="I156" s="48"/>
      <c r="J156" s="17"/>
      <c r="L156" s="48"/>
      <c r="M156" s="17"/>
      <c r="O156" s="33"/>
      <c r="P156" s="193"/>
      <c r="Q156" s="86"/>
    </row>
    <row r="157" spans="3:17" s="5" customFormat="1" ht="12">
      <c r="C157" s="5" t="s">
        <v>221</v>
      </c>
      <c r="E157" s="38"/>
      <c r="I157" s="48"/>
      <c r="J157" s="17"/>
      <c r="L157" s="48"/>
      <c r="M157" s="17"/>
      <c r="O157" s="33"/>
      <c r="P157" s="193"/>
      <c r="Q157" s="86"/>
    </row>
    <row r="158" spans="5:17" s="5" customFormat="1" ht="12">
      <c r="E158" s="38"/>
      <c r="I158" s="48"/>
      <c r="J158" s="17"/>
      <c r="L158" s="48"/>
      <c r="M158" s="17"/>
      <c r="O158" s="33"/>
      <c r="P158" s="193"/>
      <c r="Q158" s="86"/>
    </row>
    <row r="159" spans="2:17" s="5" customFormat="1" ht="12.75">
      <c r="B159" s="83"/>
      <c r="C159" s="84"/>
      <c r="D159" s="85"/>
      <c r="E159" s="85"/>
      <c r="F159" s="85"/>
      <c r="I159" s="48"/>
      <c r="J159" s="17"/>
      <c r="L159" s="48"/>
      <c r="M159" s="17"/>
      <c r="O159" s="33"/>
      <c r="P159" s="193"/>
      <c r="Q159" s="86"/>
    </row>
    <row r="160" spans="2:17" s="5" customFormat="1" ht="12.75">
      <c r="B160" s="83"/>
      <c r="C160" s="84"/>
      <c r="D160" s="85"/>
      <c r="E160" s="85"/>
      <c r="F160" s="85"/>
      <c r="I160" s="48"/>
      <c r="J160" s="17"/>
      <c r="L160" s="48"/>
      <c r="M160" s="17"/>
      <c r="O160" s="33"/>
      <c r="P160" s="193"/>
      <c r="Q160" s="86"/>
    </row>
    <row r="161" spans="5:17" s="5" customFormat="1" ht="12">
      <c r="E161" s="38"/>
      <c r="I161" s="48"/>
      <c r="J161" s="17"/>
      <c r="L161" s="48"/>
      <c r="M161" s="17"/>
      <c r="O161" s="33"/>
      <c r="P161" s="193"/>
      <c r="Q161" s="86"/>
    </row>
    <row r="162" spans="5:17" s="5" customFormat="1" ht="12">
      <c r="E162" s="38"/>
      <c r="I162" s="48"/>
      <c r="J162" s="17"/>
      <c r="L162" s="48"/>
      <c r="M162" s="17"/>
      <c r="O162" s="33"/>
      <c r="P162" s="193"/>
      <c r="Q162" s="86"/>
    </row>
    <row r="163" spans="5:17" s="5" customFormat="1" ht="12">
      <c r="E163" s="38"/>
      <c r="I163" s="48"/>
      <c r="J163" s="17"/>
      <c r="L163" s="48"/>
      <c r="M163" s="17"/>
      <c r="O163" s="33"/>
      <c r="P163" s="193"/>
      <c r="Q163" s="86"/>
    </row>
    <row r="164" spans="5:17" s="5" customFormat="1" ht="12">
      <c r="E164" s="38"/>
      <c r="I164" s="48"/>
      <c r="J164" s="17"/>
      <c r="L164" s="48"/>
      <c r="M164" s="17"/>
      <c r="O164" s="33"/>
      <c r="P164" s="193"/>
      <c r="Q164" s="86"/>
    </row>
    <row r="165" spans="5:17" s="5" customFormat="1" ht="12">
      <c r="E165" s="38"/>
      <c r="I165" s="48"/>
      <c r="J165" s="17"/>
      <c r="L165" s="48"/>
      <c r="M165" s="17"/>
      <c r="O165" s="33"/>
      <c r="P165" s="193"/>
      <c r="Q165" s="86"/>
    </row>
    <row r="166" spans="5:17" s="5" customFormat="1" ht="12">
      <c r="E166" s="38"/>
      <c r="I166" s="48"/>
      <c r="J166" s="17"/>
      <c r="L166" s="48"/>
      <c r="M166" s="17"/>
      <c r="O166" s="33"/>
      <c r="P166" s="193"/>
      <c r="Q166" s="86"/>
    </row>
    <row r="167" spans="5:17" s="5" customFormat="1" ht="12">
      <c r="E167" s="38"/>
      <c r="I167" s="48"/>
      <c r="J167" s="17"/>
      <c r="L167" s="48"/>
      <c r="M167" s="17"/>
      <c r="O167" s="33"/>
      <c r="P167" s="193"/>
      <c r="Q167" s="86"/>
    </row>
    <row r="168" spans="5:17" s="5" customFormat="1" ht="12">
      <c r="E168" s="38"/>
      <c r="I168" s="48"/>
      <c r="J168" s="17"/>
      <c r="L168" s="48"/>
      <c r="M168" s="17"/>
      <c r="O168" s="33"/>
      <c r="P168" s="193"/>
      <c r="Q168" s="86"/>
    </row>
    <row r="169" spans="5:17" s="5" customFormat="1" ht="12">
      <c r="E169" s="38"/>
      <c r="I169" s="48"/>
      <c r="J169" s="17"/>
      <c r="L169" s="48"/>
      <c r="M169" s="17"/>
      <c r="O169" s="33"/>
      <c r="P169" s="193"/>
      <c r="Q169" s="86"/>
    </row>
    <row r="170" spans="5:17" s="5" customFormat="1" ht="12">
      <c r="E170" s="38"/>
      <c r="I170" s="48"/>
      <c r="J170" s="17"/>
      <c r="L170" s="48"/>
      <c r="M170" s="17"/>
      <c r="O170" s="33"/>
      <c r="P170" s="193"/>
      <c r="Q170" s="86"/>
    </row>
    <row r="171" spans="4:15" s="5" customFormat="1" ht="12" customHeight="1">
      <c r="D171" s="14"/>
      <c r="F171" s="15"/>
      <c r="G171" s="18"/>
      <c r="H171" s="192"/>
      <c r="I171" s="18"/>
      <c r="J171" s="192"/>
      <c r="K171" s="192"/>
      <c r="L171" s="18"/>
      <c r="M171" s="192"/>
      <c r="O171" s="109"/>
    </row>
    <row r="172" spans="4:15" s="5" customFormat="1" ht="12">
      <c r="D172" s="14"/>
      <c r="F172" s="15"/>
      <c r="G172" s="18"/>
      <c r="H172" s="192"/>
      <c r="I172" s="18"/>
      <c r="J172" s="192"/>
      <c r="K172" s="192"/>
      <c r="L172" s="18"/>
      <c r="M172" s="192"/>
      <c r="O172" s="109"/>
    </row>
    <row r="173" spans="4:15" s="5" customFormat="1" ht="12">
      <c r="D173" s="14"/>
      <c r="F173" s="15"/>
      <c r="G173" s="18"/>
      <c r="H173" s="192"/>
      <c r="I173" s="18"/>
      <c r="J173" s="192"/>
      <c r="K173" s="192"/>
      <c r="L173" s="18"/>
      <c r="M173" s="192"/>
      <c r="O173" s="109"/>
    </row>
    <row r="174" spans="1:15" s="5" customFormat="1" ht="12">
      <c r="A174" s="68" t="str">
        <f>+A82</f>
        <v>Institution No.:  GFE </v>
      </c>
      <c r="E174" s="38"/>
      <c r="G174" s="71"/>
      <c r="H174" s="86"/>
      <c r="I174" s="71"/>
      <c r="J174" s="189"/>
      <c r="K174" s="189"/>
      <c r="L174" s="71"/>
      <c r="M174" s="189" t="s">
        <v>128</v>
      </c>
      <c r="O174" s="109"/>
    </row>
    <row r="175" spans="1:15" s="5" customFormat="1" ht="12">
      <c r="A175" s="433" t="s">
        <v>129</v>
      </c>
      <c r="B175" s="433"/>
      <c r="C175" s="433"/>
      <c r="D175" s="433"/>
      <c r="E175" s="433"/>
      <c r="F175" s="433"/>
      <c r="G175" s="433"/>
      <c r="H175" s="433"/>
      <c r="I175" s="433"/>
      <c r="J175" s="433"/>
      <c r="K175" s="123"/>
      <c r="L175" s="71"/>
      <c r="M175" s="86"/>
      <c r="O175" s="109"/>
    </row>
    <row r="176" spans="1:15" s="5" customFormat="1" ht="12">
      <c r="A176" s="68" t="str">
        <f>+A84</f>
        <v>NAME:  University of Colorado - HSC</v>
      </c>
      <c r="H176" s="86"/>
      <c r="I176" s="71"/>
      <c r="J176" s="190"/>
      <c r="K176" s="190"/>
      <c r="L176" s="71"/>
      <c r="M176" s="228" t="str">
        <f>+M84</f>
        <v>Date:  10-07</v>
      </c>
      <c r="O176" s="109"/>
    </row>
    <row r="177" spans="1:15" s="5" customFormat="1" ht="12">
      <c r="A177" s="15" t="s">
        <v>1</v>
      </c>
      <c r="B177" s="15" t="s">
        <v>1</v>
      </c>
      <c r="C177" s="15" t="s">
        <v>1</v>
      </c>
      <c r="D177" s="15" t="s">
        <v>1</v>
      </c>
      <c r="E177" s="15" t="s">
        <v>1</v>
      </c>
      <c r="F177" s="15" t="s">
        <v>1</v>
      </c>
      <c r="G177" s="15" t="s">
        <v>1</v>
      </c>
      <c r="H177" s="15" t="s">
        <v>1</v>
      </c>
      <c r="I177" s="15" t="s">
        <v>1</v>
      </c>
      <c r="J177" s="15" t="s">
        <v>1</v>
      </c>
      <c r="K177" s="15"/>
      <c r="L177" s="15" t="s">
        <v>1</v>
      </c>
      <c r="M177" s="15" t="s">
        <v>1</v>
      </c>
      <c r="O177" s="109"/>
    </row>
    <row r="178" spans="1:15" s="5" customFormat="1" ht="12">
      <c r="A178" s="73" t="s">
        <v>2</v>
      </c>
      <c r="E178" s="73" t="s">
        <v>2</v>
      </c>
      <c r="G178" s="89"/>
      <c r="H178" s="123" t="str">
        <f>$H$86</f>
        <v>2005-06</v>
      </c>
      <c r="I178" s="89"/>
      <c r="J178" s="123" t="str">
        <f>$J$86</f>
        <v>2006-07</v>
      </c>
      <c r="K178" s="123"/>
      <c r="L178" s="89"/>
      <c r="M178" s="123" t="str">
        <f>$M$86</f>
        <v>2007-08</v>
      </c>
      <c r="O178" s="109"/>
    </row>
    <row r="179" spans="1:15" s="5" customFormat="1" ht="12">
      <c r="A179" s="73" t="s">
        <v>4</v>
      </c>
      <c r="E179" s="73" t="s">
        <v>4</v>
      </c>
      <c r="G179" s="71"/>
      <c r="H179" s="123" t="str">
        <f>$H$87</f>
        <v>Actual</v>
      </c>
      <c r="I179" s="71"/>
      <c r="J179" s="123" t="str">
        <f>$J$87</f>
        <v>Actual</v>
      </c>
      <c r="K179" s="123"/>
      <c r="L179" s="71"/>
      <c r="M179" s="123" t="str">
        <f>$M$87</f>
        <v>Estimate</v>
      </c>
      <c r="O179" s="109"/>
    </row>
    <row r="180" spans="1:15" s="5" customFormat="1" ht="12">
      <c r="A180" s="15" t="s">
        <v>1</v>
      </c>
      <c r="B180" s="15" t="s">
        <v>1</v>
      </c>
      <c r="C180" s="15" t="s">
        <v>1</v>
      </c>
      <c r="D180" s="15" t="s">
        <v>1</v>
      </c>
      <c r="E180" s="15" t="s">
        <v>1</v>
      </c>
      <c r="F180" s="15" t="s">
        <v>1</v>
      </c>
      <c r="G180" s="15" t="s">
        <v>1</v>
      </c>
      <c r="H180" s="15" t="s">
        <v>1</v>
      </c>
      <c r="I180" s="15" t="s">
        <v>1</v>
      </c>
      <c r="J180" s="15" t="s">
        <v>1</v>
      </c>
      <c r="K180" s="15"/>
      <c r="L180" s="15" t="s">
        <v>1</v>
      </c>
      <c r="M180" s="15" t="s">
        <v>1</v>
      </c>
      <c r="O180" s="109"/>
    </row>
    <row r="181" spans="1:15" s="5" customFormat="1" ht="12">
      <c r="A181" s="41">
        <v>1</v>
      </c>
      <c r="C181" s="4" t="s">
        <v>130</v>
      </c>
      <c r="E181" s="41">
        <v>1</v>
      </c>
      <c r="G181" s="71"/>
      <c r="H181" s="86"/>
      <c r="I181" s="71"/>
      <c r="J181" s="232"/>
      <c r="K181" s="232"/>
      <c r="L181" s="71"/>
      <c r="M181" s="232"/>
      <c r="O181" s="109"/>
    </row>
    <row r="182" spans="1:15" s="5" customFormat="1" ht="12">
      <c r="A182" s="14" t="s">
        <v>228</v>
      </c>
      <c r="C182" s="4" t="s">
        <v>231</v>
      </c>
      <c r="E182" s="14" t="str">
        <f>A182</f>
        <v>2A</v>
      </c>
      <c r="G182" s="71"/>
      <c r="H182" s="86"/>
      <c r="I182" s="71"/>
      <c r="J182" s="232"/>
      <c r="K182" s="232"/>
      <c r="L182" s="71"/>
      <c r="M182" s="232"/>
      <c r="O182" s="109"/>
    </row>
    <row r="183" spans="1:15" s="5" customFormat="1" ht="12">
      <c r="A183" s="14" t="s">
        <v>229</v>
      </c>
      <c r="C183" s="4" t="s">
        <v>232</v>
      </c>
      <c r="E183" s="14" t="str">
        <f>A183</f>
        <v>2B</v>
      </c>
      <c r="G183" s="71"/>
      <c r="H183" s="86"/>
      <c r="I183" s="71"/>
      <c r="J183" s="232"/>
      <c r="K183" s="232"/>
      <c r="L183" s="71"/>
      <c r="M183" s="232"/>
      <c r="O183" s="109"/>
    </row>
    <row r="184" spans="1:15" s="5" customFormat="1" ht="12">
      <c r="A184" s="14" t="s">
        <v>230</v>
      </c>
      <c r="C184" s="4" t="s">
        <v>233</v>
      </c>
      <c r="E184" s="14" t="str">
        <f>A184</f>
        <v>2C</v>
      </c>
      <c r="F184" s="77"/>
      <c r="G184" s="77"/>
      <c r="H184" s="77">
        <v>405</v>
      </c>
      <c r="I184" s="77"/>
      <c r="J184" s="233">
        <v>410</v>
      </c>
      <c r="K184" s="233"/>
      <c r="L184" s="77"/>
      <c r="M184" s="233">
        <v>583</v>
      </c>
      <c r="O184" s="109"/>
    </row>
    <row r="185" spans="1:15" s="5" customFormat="1" ht="12">
      <c r="A185" s="41">
        <v>3</v>
      </c>
      <c r="C185" s="4" t="s">
        <v>131</v>
      </c>
      <c r="E185" s="41">
        <f aca="true" t="shared" si="2" ref="E185:E210">A185</f>
        <v>3</v>
      </c>
      <c r="F185" s="77"/>
      <c r="G185" s="77"/>
      <c r="H185" s="77">
        <v>2141</v>
      </c>
      <c r="I185" s="77"/>
      <c r="J185" s="233">
        <v>2169</v>
      </c>
      <c r="K185" s="233"/>
      <c r="L185" s="77"/>
      <c r="M185" s="233">
        <v>2006</v>
      </c>
      <c r="O185" s="109"/>
    </row>
    <row r="186" spans="1:15" s="5" customFormat="1" ht="12">
      <c r="A186" s="41">
        <v>4</v>
      </c>
      <c r="C186" s="4" t="s">
        <v>132</v>
      </c>
      <c r="E186" s="41">
        <f t="shared" si="2"/>
        <v>4</v>
      </c>
      <c r="F186" s="77"/>
      <c r="G186" s="77"/>
      <c r="H186" s="77">
        <f>SUM(H184:H185)</f>
        <v>2546</v>
      </c>
      <c r="I186" s="77"/>
      <c r="J186" s="233">
        <v>2579</v>
      </c>
      <c r="K186" s="233"/>
      <c r="L186" s="77"/>
      <c r="M186" s="233">
        <v>2589</v>
      </c>
      <c r="O186" s="109"/>
    </row>
    <row r="187" spans="1:15" s="5" customFormat="1" ht="12">
      <c r="A187" s="41">
        <v>5</v>
      </c>
      <c r="E187" s="41">
        <f t="shared" si="2"/>
        <v>5</v>
      </c>
      <c r="F187" s="77"/>
      <c r="G187" s="77"/>
      <c r="H187" s="77"/>
      <c r="I187" s="77"/>
      <c r="J187" s="233"/>
      <c r="K187" s="233"/>
      <c r="L187" s="77"/>
      <c r="M187" s="233"/>
      <c r="O187" s="109"/>
    </row>
    <row r="188" spans="1:15" s="5" customFormat="1" ht="12">
      <c r="A188" s="41">
        <v>6</v>
      </c>
      <c r="C188" s="4" t="s">
        <v>133</v>
      </c>
      <c r="E188" s="41">
        <f t="shared" si="2"/>
        <v>6</v>
      </c>
      <c r="F188" s="77"/>
      <c r="G188" s="77"/>
      <c r="H188" s="77">
        <v>17</v>
      </c>
      <c r="I188" s="77"/>
      <c r="J188" s="233">
        <v>11</v>
      </c>
      <c r="K188" s="233"/>
      <c r="L188" s="77"/>
      <c r="M188" s="233">
        <v>46</v>
      </c>
      <c r="O188" s="109"/>
    </row>
    <row r="189" spans="1:15" s="5" customFormat="1" ht="12">
      <c r="A189" s="41">
        <v>7</v>
      </c>
      <c r="C189" s="4" t="s">
        <v>134</v>
      </c>
      <c r="E189" s="41">
        <f t="shared" si="2"/>
        <v>7</v>
      </c>
      <c r="F189" s="77"/>
      <c r="G189" s="77"/>
      <c r="H189" s="77">
        <v>286</v>
      </c>
      <c r="I189" s="77"/>
      <c r="J189" s="233">
        <v>307</v>
      </c>
      <c r="K189" s="233"/>
      <c r="L189" s="77"/>
      <c r="M189" s="233">
        <v>285</v>
      </c>
      <c r="O189" s="109"/>
    </row>
    <row r="190" spans="1:15" s="5" customFormat="1" ht="12">
      <c r="A190" s="41">
        <v>8</v>
      </c>
      <c r="C190" s="4" t="s">
        <v>135</v>
      </c>
      <c r="E190" s="41">
        <f t="shared" si="2"/>
        <v>8</v>
      </c>
      <c r="F190" s="77"/>
      <c r="G190" s="77"/>
      <c r="H190" s="77">
        <f>SUM(H188:H189)</f>
        <v>303</v>
      </c>
      <c r="I190" s="77"/>
      <c r="J190" s="233">
        <v>318</v>
      </c>
      <c r="K190" s="233"/>
      <c r="L190" s="77"/>
      <c r="M190" s="233">
        <v>331</v>
      </c>
      <c r="O190" s="109"/>
    </row>
    <row r="191" spans="1:15" s="5" customFormat="1" ht="12">
      <c r="A191" s="41">
        <v>9</v>
      </c>
      <c r="E191" s="41">
        <f t="shared" si="2"/>
        <v>9</v>
      </c>
      <c r="F191" s="77"/>
      <c r="G191" s="77"/>
      <c r="I191" s="77"/>
      <c r="J191" s="234"/>
      <c r="K191" s="234"/>
      <c r="L191" s="77"/>
      <c r="M191" s="234"/>
      <c r="O191" s="109"/>
    </row>
    <row r="192" spans="1:15" s="5" customFormat="1" ht="12">
      <c r="A192" s="41">
        <v>10</v>
      </c>
      <c r="C192" s="4" t="s">
        <v>136</v>
      </c>
      <c r="E192" s="41">
        <f t="shared" si="2"/>
        <v>10</v>
      </c>
      <c r="F192" s="77"/>
      <c r="G192" s="77"/>
      <c r="H192" s="77">
        <v>422</v>
      </c>
      <c r="I192" s="77"/>
      <c r="J192" s="233">
        <v>421</v>
      </c>
      <c r="K192" s="233"/>
      <c r="L192" s="77"/>
      <c r="M192" s="233">
        <v>629</v>
      </c>
      <c r="O192" s="109"/>
    </row>
    <row r="193" spans="1:15" s="5" customFormat="1" ht="12">
      <c r="A193" s="41">
        <v>11</v>
      </c>
      <c r="C193" s="4" t="s">
        <v>137</v>
      </c>
      <c r="E193" s="41">
        <f t="shared" si="2"/>
        <v>11</v>
      </c>
      <c r="F193" s="77"/>
      <c r="G193" s="77"/>
      <c r="H193" s="77">
        <v>2427</v>
      </c>
      <c r="I193" s="77"/>
      <c r="J193" s="233">
        <v>2476</v>
      </c>
      <c r="K193" s="233"/>
      <c r="L193" s="77"/>
      <c r="M193" s="233">
        <v>2291</v>
      </c>
      <c r="O193" s="109"/>
    </row>
    <row r="194" spans="1:15" s="5" customFormat="1" ht="12">
      <c r="A194" s="41">
        <v>12</v>
      </c>
      <c r="C194" s="4" t="s">
        <v>138</v>
      </c>
      <c r="E194" s="41">
        <f t="shared" si="2"/>
        <v>12</v>
      </c>
      <c r="F194" s="77"/>
      <c r="G194" s="77"/>
      <c r="H194" s="77">
        <f>SUM(H192:H193)</f>
        <v>2849</v>
      </c>
      <c r="I194" s="77"/>
      <c r="J194" s="233">
        <v>2897</v>
      </c>
      <c r="K194" s="233"/>
      <c r="L194" s="77"/>
      <c r="M194" s="233">
        <v>2920</v>
      </c>
      <c r="O194" s="109"/>
    </row>
    <row r="195" spans="1:15" s="5" customFormat="1" ht="12">
      <c r="A195" s="41">
        <v>13</v>
      </c>
      <c r="E195" s="41">
        <f t="shared" si="2"/>
        <v>13</v>
      </c>
      <c r="G195" s="71"/>
      <c r="H195" s="86"/>
      <c r="I195" s="71"/>
      <c r="J195" s="86"/>
      <c r="K195" s="86"/>
      <c r="L195" s="71"/>
      <c r="M195" s="86"/>
      <c r="O195" s="109"/>
    </row>
    <row r="196" spans="1:15" s="5" customFormat="1" ht="12">
      <c r="A196" s="41">
        <v>15</v>
      </c>
      <c r="C196" s="4" t="s">
        <v>139</v>
      </c>
      <c r="E196" s="41">
        <f t="shared" si="2"/>
        <v>15</v>
      </c>
      <c r="G196" s="71"/>
      <c r="H196" s="86"/>
      <c r="I196" s="71"/>
      <c r="J196" s="86"/>
      <c r="K196" s="86"/>
      <c r="L196" s="71"/>
      <c r="M196" s="86"/>
      <c r="O196" s="109"/>
    </row>
    <row r="197" spans="1:15" s="5" customFormat="1" ht="12">
      <c r="A197" s="41">
        <v>16</v>
      </c>
      <c r="C197" s="4" t="s">
        <v>376</v>
      </c>
      <c r="E197" s="41">
        <f t="shared" si="2"/>
        <v>16</v>
      </c>
      <c r="G197" s="71"/>
      <c r="H197" s="86">
        <f>(H118-H484)/H194</f>
        <v>35588.159354159354</v>
      </c>
      <c r="I197" s="71"/>
      <c r="J197" s="86">
        <f>(J118-J484)/J194</f>
        <v>38752.8470831895</v>
      </c>
      <c r="K197" s="86"/>
      <c r="L197" s="71"/>
      <c r="M197" s="86">
        <f>(M118-M484)/M194</f>
        <v>40999.192465753425</v>
      </c>
      <c r="O197" s="109"/>
    </row>
    <row r="198" spans="1:15" s="5" customFormat="1" ht="12">
      <c r="A198" s="41">
        <v>17</v>
      </c>
      <c r="C198" s="4" t="s">
        <v>487</v>
      </c>
      <c r="E198" s="41">
        <f t="shared" si="2"/>
        <v>17</v>
      </c>
      <c r="G198" s="71"/>
      <c r="H198" s="189" t="s">
        <v>488</v>
      </c>
      <c r="I198" s="71"/>
      <c r="J198" s="86">
        <v>2580</v>
      </c>
      <c r="K198" s="86"/>
      <c r="L198" s="71"/>
      <c r="M198" s="86">
        <v>2670</v>
      </c>
      <c r="O198" s="109"/>
    </row>
    <row r="199" spans="1:15" s="5" customFormat="1" ht="12">
      <c r="A199" s="41">
        <f aca="true" t="shared" si="3" ref="A199:A210">+A198+1</f>
        <v>18</v>
      </c>
      <c r="E199" s="41">
        <f t="shared" si="2"/>
        <v>18</v>
      </c>
      <c r="G199" s="71"/>
      <c r="H199" s="86"/>
      <c r="I199" s="71"/>
      <c r="J199" s="86"/>
      <c r="K199" s="86"/>
      <c r="L199" s="71"/>
      <c r="M199" s="86"/>
      <c r="O199" s="109"/>
    </row>
    <row r="200" spans="1:15" s="5" customFormat="1" ht="12">
      <c r="A200" s="41">
        <f t="shared" si="3"/>
        <v>19</v>
      </c>
      <c r="C200" s="4" t="s">
        <v>140</v>
      </c>
      <c r="E200" s="41">
        <f t="shared" si="2"/>
        <v>19</v>
      </c>
      <c r="G200" s="71"/>
      <c r="H200" s="86"/>
      <c r="I200" s="71"/>
      <c r="J200" s="86"/>
      <c r="K200" s="86"/>
      <c r="L200" s="71"/>
      <c r="M200" s="86"/>
      <c r="O200" s="109"/>
    </row>
    <row r="201" spans="1:15" s="5" customFormat="1" ht="12">
      <c r="A201" s="41">
        <f t="shared" si="3"/>
        <v>20</v>
      </c>
      <c r="C201" s="4" t="s">
        <v>141</v>
      </c>
      <c r="E201" s="41">
        <f t="shared" si="2"/>
        <v>20</v>
      </c>
      <c r="F201" s="27"/>
      <c r="G201" s="185"/>
      <c r="H201" s="89">
        <f>G613</f>
        <v>325.9</v>
      </c>
      <c r="I201" s="185"/>
      <c r="J201" s="89">
        <f>I613</f>
        <v>335.0779670858772</v>
      </c>
      <c r="K201" s="89"/>
      <c r="L201" s="185"/>
      <c r="M201" s="89">
        <f>L613</f>
        <v>351.30999999999995</v>
      </c>
      <c r="O201" s="109"/>
    </row>
    <row r="202" spans="1:15" s="5" customFormat="1" ht="12">
      <c r="A202" s="41">
        <f t="shared" si="3"/>
        <v>21</v>
      </c>
      <c r="C202" s="4" t="s">
        <v>142</v>
      </c>
      <c r="E202" s="41">
        <f t="shared" si="2"/>
        <v>21</v>
      </c>
      <c r="F202" s="27"/>
      <c r="G202" s="185"/>
      <c r="H202" s="89">
        <f>G610</f>
        <v>274.2</v>
      </c>
      <c r="I202" s="185"/>
      <c r="J202" s="89">
        <f>I610</f>
        <v>286.342113943735</v>
      </c>
      <c r="K202" s="89"/>
      <c r="L202" s="185"/>
      <c r="M202" s="89">
        <f>L610</f>
        <v>321.78</v>
      </c>
      <c r="O202" s="109"/>
    </row>
    <row r="203" spans="1:15" s="5" customFormat="1" ht="12">
      <c r="A203" s="41">
        <f t="shared" si="3"/>
        <v>22</v>
      </c>
      <c r="C203" s="4" t="s">
        <v>143</v>
      </c>
      <c r="E203" s="41">
        <f t="shared" si="2"/>
        <v>22</v>
      </c>
      <c r="F203" s="27"/>
      <c r="G203" s="185"/>
      <c r="H203" s="89">
        <f>G612</f>
        <v>51.7</v>
      </c>
      <c r="I203" s="185"/>
      <c r="J203" s="89">
        <f>I612</f>
        <v>48.73585314214224</v>
      </c>
      <c r="K203" s="89"/>
      <c r="L203" s="185"/>
      <c r="M203" s="89">
        <f>L612</f>
        <v>29.53</v>
      </c>
      <c r="O203" s="109"/>
    </row>
    <row r="204" spans="1:15" s="5" customFormat="1" ht="12">
      <c r="A204" s="41">
        <f t="shared" si="3"/>
        <v>23</v>
      </c>
      <c r="E204" s="41">
        <f t="shared" si="2"/>
        <v>23</v>
      </c>
      <c r="F204" s="27"/>
      <c r="G204" s="185"/>
      <c r="H204" s="179"/>
      <c r="I204" s="185"/>
      <c r="J204" s="179"/>
      <c r="K204" s="179"/>
      <c r="L204" s="185"/>
      <c r="M204" s="179"/>
      <c r="O204" s="109"/>
    </row>
    <row r="205" spans="1:15" s="5" customFormat="1" ht="12">
      <c r="A205" s="41">
        <f t="shared" si="3"/>
        <v>24</v>
      </c>
      <c r="C205" s="4" t="s">
        <v>144</v>
      </c>
      <c r="E205" s="41">
        <f t="shared" si="2"/>
        <v>24</v>
      </c>
      <c r="F205" s="27"/>
      <c r="G205" s="185"/>
      <c r="H205" s="179"/>
      <c r="I205" s="185"/>
      <c r="J205" s="179"/>
      <c r="K205" s="179"/>
      <c r="L205" s="185"/>
      <c r="M205" s="179"/>
      <c r="O205" s="109"/>
    </row>
    <row r="206" spans="1:15" s="5" customFormat="1" ht="12">
      <c r="A206" s="41">
        <f t="shared" si="3"/>
        <v>25</v>
      </c>
      <c r="C206" s="4" t="s">
        <v>145</v>
      </c>
      <c r="E206" s="41">
        <f t="shared" si="2"/>
        <v>25</v>
      </c>
      <c r="G206" s="71"/>
      <c r="H206" s="86">
        <f>IF(G613=0,0,H613/G613)</f>
        <v>110716.6676894753</v>
      </c>
      <c r="I206" s="71"/>
      <c r="J206" s="86">
        <f>IF(I613=0,0,J613/I613)</f>
        <v>116393.28404426086</v>
      </c>
      <c r="K206" s="86"/>
      <c r="L206" s="71"/>
      <c r="M206" s="86">
        <f>IF(L613=0,0,M613/L613)</f>
        <v>117762.3210270132</v>
      </c>
      <c r="O206" s="109"/>
    </row>
    <row r="207" spans="1:15" s="5" customFormat="1" ht="12">
      <c r="A207" s="41">
        <f t="shared" si="3"/>
        <v>26</v>
      </c>
      <c r="C207" s="4" t="s">
        <v>146</v>
      </c>
      <c r="E207" s="41">
        <f t="shared" si="2"/>
        <v>26</v>
      </c>
      <c r="G207" s="71"/>
      <c r="H207" s="86">
        <f>IF(H202=0,0,(H610+H611)/H202)</f>
        <v>124022.03501094092</v>
      </c>
      <c r="I207" s="71"/>
      <c r="J207" s="86">
        <f>IF(J202=0,0,(J610+J611)/J202)</f>
        <v>129129.33934428333</v>
      </c>
      <c r="K207" s="86"/>
      <c r="L207" s="71"/>
      <c r="M207" s="86">
        <f>IF(M202=0,0,(M610+M611)/M202)</f>
        <v>124636.78289514576</v>
      </c>
      <c r="O207" s="109"/>
    </row>
    <row r="208" spans="1:15" s="5" customFormat="1" ht="12">
      <c r="A208" s="41">
        <f t="shared" si="3"/>
        <v>27</v>
      </c>
      <c r="C208" s="4" t="s">
        <v>147</v>
      </c>
      <c r="E208" s="41">
        <f t="shared" si="2"/>
        <v>27</v>
      </c>
      <c r="G208" s="71"/>
      <c r="H208" s="86">
        <f>IF(H203=0,0,H612/H203)</f>
        <v>40149.32301740812</v>
      </c>
      <c r="I208" s="71"/>
      <c r="J208" s="86">
        <f>IF(J203=0,0,J612/J203)</f>
        <v>41564</v>
      </c>
      <c r="K208" s="86"/>
      <c r="L208" s="71"/>
      <c r="M208" s="86">
        <f>IF(M203=0,0,M612/M203)</f>
        <v>42853.267863189976</v>
      </c>
      <c r="O208" s="109"/>
    </row>
    <row r="209" spans="1:15" s="5" customFormat="1" ht="12">
      <c r="A209" s="41">
        <f t="shared" si="3"/>
        <v>28</v>
      </c>
      <c r="E209" s="41">
        <f t="shared" si="2"/>
        <v>28</v>
      </c>
      <c r="G209" s="71"/>
      <c r="I209" s="71"/>
      <c r="L209" s="71"/>
      <c r="O209" s="109"/>
    </row>
    <row r="210" spans="1:15" s="5" customFormat="1" ht="12">
      <c r="A210" s="41">
        <f t="shared" si="3"/>
        <v>29</v>
      </c>
      <c r="C210" s="4" t="s">
        <v>148</v>
      </c>
      <c r="E210" s="41">
        <f t="shared" si="2"/>
        <v>29</v>
      </c>
      <c r="F210" s="89"/>
      <c r="G210" s="89"/>
      <c r="H210" s="89">
        <f>G100</f>
        <v>1070.8999999999999</v>
      </c>
      <c r="I210" s="89"/>
      <c r="J210" s="89">
        <f>I100</f>
        <v>1098.0813743582023</v>
      </c>
      <c r="K210" s="89"/>
      <c r="L210" s="89"/>
      <c r="M210" s="89">
        <f>L100</f>
        <v>1104.3300000000002</v>
      </c>
      <c r="O210" s="109"/>
    </row>
    <row r="211" spans="1:15" s="5" customFormat="1" ht="12">
      <c r="A211" s="4"/>
      <c r="H211" s="86"/>
      <c r="J211" s="86"/>
      <c r="K211" s="86"/>
      <c r="M211" s="86"/>
      <c r="O211" s="109"/>
    </row>
    <row r="212" spans="1:15" s="5" customFormat="1" ht="12">
      <c r="A212" s="4"/>
      <c r="C212" s="5" t="s">
        <v>489</v>
      </c>
      <c r="H212" s="86"/>
      <c r="J212" s="86"/>
      <c r="K212" s="86"/>
      <c r="M212" s="86"/>
      <c r="O212" s="109"/>
    </row>
    <row r="213" spans="1:15" s="5" customFormat="1" ht="12">
      <c r="A213" s="4"/>
      <c r="H213" s="86"/>
      <c r="J213" s="86"/>
      <c r="K213" s="86"/>
      <c r="M213" s="86"/>
      <c r="O213" s="109"/>
    </row>
    <row r="214" spans="1:15" s="5" customFormat="1" ht="12" hidden="1">
      <c r="A214" s="4"/>
      <c r="H214" s="86"/>
      <c r="J214" s="86"/>
      <c r="K214" s="86"/>
      <c r="M214" s="86"/>
      <c r="O214" s="109"/>
    </row>
    <row r="215" spans="1:15" s="5" customFormat="1" ht="12" hidden="1">
      <c r="A215" s="4"/>
      <c r="H215" s="86"/>
      <c r="J215" s="86"/>
      <c r="K215" s="86"/>
      <c r="M215" s="86"/>
      <c r="O215" s="109"/>
    </row>
    <row r="216" spans="1:15" s="5" customFormat="1" ht="12" hidden="1">
      <c r="A216" s="4"/>
      <c r="H216" s="86"/>
      <c r="J216" s="86"/>
      <c r="K216" s="86"/>
      <c r="M216" s="86"/>
      <c r="O216" s="109"/>
    </row>
    <row r="217" spans="1:15" s="5" customFormat="1" ht="0.75" customHeight="1">
      <c r="A217" s="4"/>
      <c r="H217" s="86"/>
      <c r="J217" s="86"/>
      <c r="K217" s="86"/>
      <c r="M217" s="86"/>
      <c r="O217" s="109"/>
    </row>
    <row r="218" spans="1:15" s="5" customFormat="1" ht="12">
      <c r="A218" s="4"/>
      <c r="H218" s="86"/>
      <c r="J218" s="86"/>
      <c r="K218" s="86"/>
      <c r="M218" s="86"/>
      <c r="O218" s="109"/>
    </row>
    <row r="219" spans="1:15" s="5" customFormat="1" ht="12">
      <c r="A219" s="4"/>
      <c r="H219" s="86"/>
      <c r="J219" s="86"/>
      <c r="K219" s="86"/>
      <c r="M219" s="86"/>
      <c r="O219" s="109"/>
    </row>
    <row r="220" spans="1:15" s="5" customFormat="1" ht="12">
      <c r="A220" s="4"/>
      <c r="H220" s="86"/>
      <c r="J220" s="86"/>
      <c r="K220" s="86"/>
      <c r="M220" s="86"/>
      <c r="O220" s="109"/>
    </row>
    <row r="221" spans="1:15" s="5" customFormat="1" ht="12">
      <c r="A221" s="4"/>
      <c r="H221" s="86"/>
      <c r="J221" s="86"/>
      <c r="K221" s="86"/>
      <c r="M221" s="86"/>
      <c r="O221" s="109"/>
    </row>
    <row r="222" spans="1:15" s="5" customFormat="1" ht="12">
      <c r="A222" s="4"/>
      <c r="H222" s="86"/>
      <c r="J222" s="86"/>
      <c r="K222" s="86"/>
      <c r="M222" s="86"/>
      <c r="O222" s="109"/>
    </row>
    <row r="223" spans="1:15" s="5" customFormat="1" ht="12">
      <c r="A223" s="4"/>
      <c r="H223" s="86"/>
      <c r="J223" s="86"/>
      <c r="K223" s="86"/>
      <c r="M223" s="86"/>
      <c r="O223" s="109"/>
    </row>
    <row r="224" spans="1:15" s="5" customFormat="1" ht="12">
      <c r="A224" s="4"/>
      <c r="H224" s="86"/>
      <c r="J224" s="86"/>
      <c r="K224" s="86"/>
      <c r="M224" s="86"/>
      <c r="O224" s="109"/>
    </row>
    <row r="225" spans="1:15" s="5" customFormat="1" ht="12">
      <c r="A225" s="68" t="str">
        <f>+A82</f>
        <v>Institution No.:  GFE </v>
      </c>
      <c r="E225" s="38"/>
      <c r="G225" s="71"/>
      <c r="H225" s="86"/>
      <c r="I225" s="71"/>
      <c r="J225" s="189"/>
      <c r="K225" s="189"/>
      <c r="L225" s="71"/>
      <c r="M225" s="189" t="s">
        <v>149</v>
      </c>
      <c r="O225" s="109"/>
    </row>
    <row r="226" spans="1:15" s="5" customFormat="1" ht="13.5" customHeight="1">
      <c r="A226" s="433" t="s">
        <v>490</v>
      </c>
      <c r="B226" s="433"/>
      <c r="C226" s="433"/>
      <c r="D226" s="433"/>
      <c r="E226" s="433"/>
      <c r="F226" s="433"/>
      <c r="G226" s="433"/>
      <c r="H226" s="433"/>
      <c r="I226" s="433"/>
      <c r="J226" s="433"/>
      <c r="K226" s="123"/>
      <c r="L226" s="71"/>
      <c r="M226" s="86"/>
      <c r="O226" s="109"/>
    </row>
    <row r="227" spans="1:15" s="5" customFormat="1" ht="12">
      <c r="A227" s="68" t="str">
        <f>+A84</f>
        <v>NAME:  University of Colorado - HSC</v>
      </c>
      <c r="H227" s="86"/>
      <c r="I227" s="71"/>
      <c r="J227" s="190"/>
      <c r="K227" s="190"/>
      <c r="L227" s="71"/>
      <c r="M227" s="228" t="str">
        <f>+M84</f>
        <v>Date:  10-07</v>
      </c>
      <c r="O227" s="109"/>
    </row>
    <row r="228" spans="1:15" s="5" customFormat="1" ht="12">
      <c r="A228" s="15" t="s">
        <v>1</v>
      </c>
      <c r="B228" s="15" t="s">
        <v>1</v>
      </c>
      <c r="C228" s="15" t="s">
        <v>1</v>
      </c>
      <c r="D228" s="15" t="s">
        <v>1</v>
      </c>
      <c r="E228" s="15" t="s">
        <v>1</v>
      </c>
      <c r="F228" s="15" t="s">
        <v>1</v>
      </c>
      <c r="G228" s="15" t="s">
        <v>1</v>
      </c>
      <c r="H228" s="15" t="s">
        <v>1</v>
      </c>
      <c r="I228" s="15" t="s">
        <v>1</v>
      </c>
      <c r="J228" s="15" t="s">
        <v>1</v>
      </c>
      <c r="K228" s="15"/>
      <c r="L228" s="15" t="s">
        <v>1</v>
      </c>
      <c r="M228" s="15" t="s">
        <v>1</v>
      </c>
      <c r="O228" s="109"/>
    </row>
    <row r="229" spans="1:15" s="5" customFormat="1" ht="13.5" customHeight="1">
      <c r="A229" s="73" t="s">
        <v>2</v>
      </c>
      <c r="E229" s="73" t="s">
        <v>2</v>
      </c>
      <c r="G229" s="89"/>
      <c r="H229" s="123" t="s">
        <v>280</v>
      </c>
      <c r="I229" s="89"/>
      <c r="J229" s="123" t="s">
        <v>289</v>
      </c>
      <c r="K229" s="123"/>
      <c r="L229" s="89"/>
      <c r="M229" s="123" t="s">
        <v>491</v>
      </c>
      <c r="O229" s="109"/>
    </row>
    <row r="230" spans="1:15" s="5" customFormat="1" ht="14.25" customHeight="1">
      <c r="A230" s="73" t="s">
        <v>4</v>
      </c>
      <c r="C230" s="4" t="s">
        <v>0</v>
      </c>
      <c r="E230" s="73" t="s">
        <v>4</v>
      </c>
      <c r="G230" s="71"/>
      <c r="H230" s="123" t="str">
        <f>$H$87</f>
        <v>Actual</v>
      </c>
      <c r="I230" s="71"/>
      <c r="J230" s="123" t="str">
        <f>$J$87</f>
        <v>Actual</v>
      </c>
      <c r="K230" s="123"/>
      <c r="L230" s="71"/>
      <c r="M230" s="123" t="s">
        <v>307</v>
      </c>
      <c r="O230" s="109"/>
    </row>
    <row r="231" spans="1:15" s="5" customFormat="1" ht="12">
      <c r="A231" s="15" t="s">
        <v>1</v>
      </c>
      <c r="B231" s="15" t="s">
        <v>1</v>
      </c>
      <c r="C231" s="15" t="s">
        <v>1</v>
      </c>
      <c r="D231" s="15" t="s">
        <v>1</v>
      </c>
      <c r="E231" s="15" t="s">
        <v>1</v>
      </c>
      <c r="F231" s="15" t="s">
        <v>1</v>
      </c>
      <c r="G231" s="15" t="s">
        <v>1</v>
      </c>
      <c r="H231" s="15" t="s">
        <v>1</v>
      </c>
      <c r="I231" s="15" t="s">
        <v>1</v>
      </c>
      <c r="J231" s="15" t="s">
        <v>1</v>
      </c>
      <c r="K231" s="15"/>
      <c r="L231" s="15" t="s">
        <v>1</v>
      </c>
      <c r="M231" s="15" t="s">
        <v>1</v>
      </c>
      <c r="O231" s="109"/>
    </row>
    <row r="232" spans="1:15" s="5" customFormat="1" ht="12" customHeight="1">
      <c r="A232" s="41">
        <v>1</v>
      </c>
      <c r="C232" s="4" t="s">
        <v>150</v>
      </c>
      <c r="E232" s="38">
        <v>1</v>
      </c>
      <c r="G232" s="71"/>
      <c r="H232" s="86"/>
      <c r="I232" s="71"/>
      <c r="J232" s="86"/>
      <c r="K232" s="86"/>
      <c r="L232" s="71"/>
      <c r="M232" s="86"/>
      <c r="O232" s="109"/>
    </row>
    <row r="233" spans="1:15" s="5" customFormat="1" ht="12" customHeight="1">
      <c r="A233" s="41">
        <f>(A232+1)</f>
        <v>2</v>
      </c>
      <c r="C233" s="4" t="s">
        <v>151</v>
      </c>
      <c r="E233" s="38">
        <f>E232+1</f>
        <v>2</v>
      </c>
      <c r="F233" s="77"/>
      <c r="G233" s="77"/>
      <c r="H233" s="77"/>
      <c r="I233" s="77"/>
      <c r="J233" s="235"/>
      <c r="K233" s="235"/>
      <c r="L233" s="77"/>
      <c r="M233" s="235"/>
      <c r="O233" s="109"/>
    </row>
    <row r="234" spans="1:15" s="5" customFormat="1" ht="13.5" customHeight="1">
      <c r="A234" s="41">
        <f>(A233+1)</f>
        <v>3</v>
      </c>
      <c r="C234" s="4" t="s">
        <v>152</v>
      </c>
      <c r="E234" s="38">
        <f>E233+1</f>
        <v>3</v>
      </c>
      <c r="F234" s="77"/>
      <c r="G234" s="77"/>
      <c r="H234" s="77"/>
      <c r="I234" s="77"/>
      <c r="J234" s="236"/>
      <c r="K234" s="236"/>
      <c r="L234" s="77"/>
      <c r="M234" s="77"/>
      <c r="O234" s="109"/>
    </row>
    <row r="235" spans="1:15" s="5" customFormat="1" ht="12">
      <c r="A235" s="41">
        <f>(A234+1)</f>
        <v>4</v>
      </c>
      <c r="C235" s="4" t="s">
        <v>492</v>
      </c>
      <c r="E235" s="38">
        <f>E234+1</f>
        <v>4</v>
      </c>
      <c r="F235" s="77"/>
      <c r="G235" s="77"/>
      <c r="H235" s="109">
        <v>9090</v>
      </c>
      <c r="I235" s="77"/>
      <c r="J235" s="109">
        <v>9405</v>
      </c>
      <c r="K235" s="109"/>
      <c r="L235" s="77"/>
      <c r="M235" s="237">
        <f>(J235-H235)/H235</f>
        <v>0.034653465346534656</v>
      </c>
      <c r="O235" s="109"/>
    </row>
    <row r="236" spans="1:15" s="5" customFormat="1" ht="12">
      <c r="A236" s="41">
        <f>(A235+1)</f>
        <v>5</v>
      </c>
      <c r="C236" s="5" t="s">
        <v>493</v>
      </c>
      <c r="E236" s="38">
        <f>E235+1</f>
        <v>5</v>
      </c>
      <c r="F236" s="77"/>
      <c r="G236" s="77"/>
      <c r="H236" s="25">
        <v>10755</v>
      </c>
      <c r="I236" s="77"/>
      <c r="J236" s="109">
        <v>11115</v>
      </c>
      <c r="K236" s="109"/>
      <c r="L236" s="77"/>
      <c r="M236" s="237">
        <f>(J236-H236)/H236</f>
        <v>0.03347280334728033</v>
      </c>
      <c r="O236" s="109"/>
    </row>
    <row r="237" spans="1:15" s="5" customFormat="1" ht="9.75" customHeight="1">
      <c r="A237" s="41">
        <f aca="true" t="shared" si="4" ref="A237:A259">(A236+1)</f>
        <v>6</v>
      </c>
      <c r="E237" s="38">
        <f aca="true" t="shared" si="5" ref="E237:E259">E236+1</f>
        <v>6</v>
      </c>
      <c r="G237" s="71"/>
      <c r="H237" s="25"/>
      <c r="I237" s="71"/>
      <c r="J237" s="109"/>
      <c r="K237" s="109"/>
      <c r="L237" s="71"/>
      <c r="M237" s="235"/>
      <c r="O237" s="109"/>
    </row>
    <row r="238" spans="1:15" s="5" customFormat="1" ht="10.5" customHeight="1">
      <c r="A238" s="41">
        <f t="shared" si="4"/>
        <v>7</v>
      </c>
      <c r="C238" s="4" t="s">
        <v>0</v>
      </c>
      <c r="E238" s="38">
        <f t="shared" si="5"/>
        <v>7</v>
      </c>
      <c r="G238" s="71"/>
      <c r="H238" s="25"/>
      <c r="I238" s="71"/>
      <c r="J238" s="109"/>
      <c r="K238" s="109"/>
      <c r="L238" s="71"/>
      <c r="M238" s="235"/>
      <c r="O238" s="109"/>
    </row>
    <row r="239" spans="1:15" s="5" customFormat="1" ht="12">
      <c r="A239" s="41">
        <f t="shared" si="4"/>
        <v>8</v>
      </c>
      <c r="C239" s="4" t="s">
        <v>0</v>
      </c>
      <c r="E239" s="38">
        <f t="shared" si="5"/>
        <v>8</v>
      </c>
      <c r="G239" s="71"/>
      <c r="H239" s="25"/>
      <c r="I239" s="71"/>
      <c r="J239" s="109"/>
      <c r="K239" s="109"/>
      <c r="L239" s="71"/>
      <c r="M239" s="235"/>
      <c r="O239" s="109"/>
    </row>
    <row r="240" spans="1:15" s="5" customFormat="1" ht="13.5" customHeight="1">
      <c r="A240" s="41">
        <f t="shared" si="4"/>
        <v>9</v>
      </c>
      <c r="C240" s="4"/>
      <c r="E240" s="38">
        <f t="shared" si="5"/>
        <v>9</v>
      </c>
      <c r="G240" s="71"/>
      <c r="H240" s="25"/>
      <c r="I240" s="71"/>
      <c r="J240" s="109"/>
      <c r="K240" s="109"/>
      <c r="L240" s="71"/>
      <c r="M240" s="235"/>
      <c r="O240" s="109"/>
    </row>
    <row r="241" spans="1:15" s="5" customFormat="1" ht="12">
      <c r="A241" s="41">
        <f t="shared" si="4"/>
        <v>10</v>
      </c>
      <c r="C241" s="4"/>
      <c r="E241" s="38">
        <f t="shared" si="5"/>
        <v>10</v>
      </c>
      <c r="G241" s="71"/>
      <c r="H241" s="25"/>
      <c r="I241" s="71"/>
      <c r="J241" s="109"/>
      <c r="K241" s="109"/>
      <c r="L241" s="71"/>
      <c r="M241" s="235"/>
      <c r="O241" s="109"/>
    </row>
    <row r="242" spans="1:15" s="5" customFormat="1" ht="12">
      <c r="A242" s="41">
        <f t="shared" si="4"/>
        <v>11</v>
      </c>
      <c r="C242" s="4" t="s">
        <v>153</v>
      </c>
      <c r="E242" s="38">
        <f t="shared" si="5"/>
        <v>11</v>
      </c>
      <c r="G242" s="71"/>
      <c r="H242" s="25"/>
      <c r="I242" s="71"/>
      <c r="J242" s="109"/>
      <c r="K242" s="109"/>
      <c r="L242" s="71"/>
      <c r="M242" s="235"/>
      <c r="O242" s="109"/>
    </row>
    <row r="243" spans="1:15" s="5" customFormat="1" ht="12">
      <c r="A243" s="41">
        <f t="shared" si="4"/>
        <v>12</v>
      </c>
      <c r="C243" s="4" t="s">
        <v>151</v>
      </c>
      <c r="E243" s="38">
        <f t="shared" si="5"/>
        <v>12</v>
      </c>
      <c r="G243" s="71"/>
      <c r="H243" s="25"/>
      <c r="I243" s="71"/>
      <c r="J243" s="109"/>
      <c r="K243" s="109"/>
      <c r="L243" s="71"/>
      <c r="M243" s="235"/>
      <c r="O243" s="109"/>
    </row>
    <row r="244" spans="1:15" s="5" customFormat="1" ht="12">
      <c r="A244" s="41">
        <f t="shared" si="4"/>
        <v>13</v>
      </c>
      <c r="C244" s="4" t="s">
        <v>152</v>
      </c>
      <c r="E244" s="38">
        <f t="shared" si="5"/>
        <v>13</v>
      </c>
      <c r="G244" s="71"/>
      <c r="H244" s="25"/>
      <c r="I244" s="71"/>
      <c r="J244" s="109"/>
      <c r="K244" s="109"/>
      <c r="L244" s="71"/>
      <c r="M244" s="235"/>
      <c r="O244" s="109"/>
    </row>
    <row r="245" spans="1:15" s="5" customFormat="1" ht="12">
      <c r="A245" s="41">
        <f t="shared" si="4"/>
        <v>14</v>
      </c>
      <c r="C245" s="31" t="s">
        <v>494</v>
      </c>
      <c r="E245" s="38">
        <f t="shared" si="5"/>
        <v>14</v>
      </c>
      <c r="F245" s="27"/>
      <c r="G245" s="185"/>
      <c r="H245" s="25">
        <f>1845*3</f>
        <v>5535</v>
      </c>
      <c r="I245" s="185"/>
      <c r="J245" s="109">
        <v>5625</v>
      </c>
      <c r="K245" s="109"/>
      <c r="L245" s="185"/>
      <c r="M245" s="237">
        <f>(J245-H245)/H245</f>
        <v>0.016260162601626018</v>
      </c>
      <c r="O245" s="109"/>
    </row>
    <row r="246" spans="1:15" s="5" customFormat="1" ht="12">
      <c r="A246" s="41">
        <f t="shared" si="4"/>
        <v>15</v>
      </c>
      <c r="C246" s="31" t="s">
        <v>495</v>
      </c>
      <c r="E246" s="38">
        <f t="shared" si="5"/>
        <v>15</v>
      </c>
      <c r="F246" s="27"/>
      <c r="G246" s="185"/>
      <c r="H246" s="173" t="s">
        <v>488</v>
      </c>
      <c r="I246" s="185"/>
      <c r="J246" s="33" t="s">
        <v>488</v>
      </c>
      <c r="K246" s="33"/>
      <c r="L246" s="185"/>
      <c r="M246" s="237"/>
      <c r="O246" s="109"/>
    </row>
    <row r="247" spans="1:15" s="5" customFormat="1" ht="12">
      <c r="A247" s="41">
        <f t="shared" si="4"/>
        <v>16</v>
      </c>
      <c r="C247" s="31" t="s">
        <v>493</v>
      </c>
      <c r="E247" s="38">
        <f t="shared" si="5"/>
        <v>16</v>
      </c>
      <c r="F247" s="27"/>
      <c r="G247" s="185"/>
      <c r="H247" s="25">
        <v>16290</v>
      </c>
      <c r="I247" s="185"/>
      <c r="J247" s="109">
        <v>16875</v>
      </c>
      <c r="K247" s="109"/>
      <c r="L247" s="185"/>
      <c r="M247" s="237">
        <f>(J247-H247)/H247</f>
        <v>0.03591160220994475</v>
      </c>
      <c r="O247" s="109"/>
    </row>
    <row r="248" spans="1:15" s="5" customFormat="1" ht="12">
      <c r="A248" s="41">
        <f t="shared" si="4"/>
        <v>17</v>
      </c>
      <c r="C248" s="31" t="s">
        <v>496</v>
      </c>
      <c r="E248" s="38">
        <f t="shared" si="5"/>
        <v>17</v>
      </c>
      <c r="F248" s="27"/>
      <c r="G248" s="185"/>
      <c r="H248" s="25">
        <f>1107*3</f>
        <v>3321</v>
      </c>
      <c r="I248" s="185"/>
      <c r="J248" s="109">
        <f>1125*3</f>
        <v>3375</v>
      </c>
      <c r="K248" s="109"/>
      <c r="L248" s="185"/>
      <c r="M248" s="237">
        <f>(J248-H248)/H248</f>
        <v>0.016260162601626018</v>
      </c>
      <c r="O248" s="109"/>
    </row>
    <row r="249" spans="1:15" s="5" customFormat="1" ht="12" customHeight="1">
      <c r="A249" s="41">
        <f t="shared" si="4"/>
        <v>18</v>
      </c>
      <c r="E249" s="38">
        <f t="shared" si="5"/>
        <v>18</v>
      </c>
      <c r="G249" s="71"/>
      <c r="H249" s="25"/>
      <c r="I249" s="71"/>
      <c r="J249" s="109"/>
      <c r="K249" s="109"/>
      <c r="L249" s="71"/>
      <c r="M249" s="235"/>
      <c r="O249" s="109"/>
    </row>
    <row r="250" spans="1:15" s="5" customFormat="1" ht="11.25" customHeight="1">
      <c r="A250" s="41">
        <f t="shared" si="4"/>
        <v>19</v>
      </c>
      <c r="E250" s="38">
        <f t="shared" si="5"/>
        <v>19</v>
      </c>
      <c r="G250" s="71"/>
      <c r="H250" s="25"/>
      <c r="I250" s="71"/>
      <c r="J250" s="109"/>
      <c r="K250" s="109"/>
      <c r="L250" s="71"/>
      <c r="M250" s="235"/>
      <c r="O250" s="109"/>
    </row>
    <row r="251" spans="1:15" s="5" customFormat="1" ht="12">
      <c r="A251" s="41">
        <f t="shared" si="4"/>
        <v>20</v>
      </c>
      <c r="E251" s="38">
        <f t="shared" si="5"/>
        <v>20</v>
      </c>
      <c r="G251" s="71"/>
      <c r="H251" s="25"/>
      <c r="I251" s="71"/>
      <c r="J251" s="109"/>
      <c r="K251" s="109"/>
      <c r="L251" s="71"/>
      <c r="M251" s="235"/>
      <c r="O251" s="109"/>
    </row>
    <row r="252" spans="1:15" s="5" customFormat="1" ht="13.5" customHeight="1">
      <c r="A252" s="41">
        <f t="shared" si="4"/>
        <v>21</v>
      </c>
      <c r="C252" s="4" t="s">
        <v>154</v>
      </c>
      <c r="E252" s="38">
        <f t="shared" si="5"/>
        <v>21</v>
      </c>
      <c r="G252" s="71"/>
      <c r="H252" s="25"/>
      <c r="I252" s="71"/>
      <c r="J252" s="109"/>
      <c r="K252" s="109"/>
      <c r="L252" s="71"/>
      <c r="M252" s="235"/>
      <c r="O252" s="109"/>
    </row>
    <row r="253" spans="1:15" s="5" customFormat="1" ht="13.5" customHeight="1">
      <c r="A253" s="41">
        <f t="shared" si="4"/>
        <v>22</v>
      </c>
      <c r="C253" s="4" t="s">
        <v>151</v>
      </c>
      <c r="E253" s="38">
        <f t="shared" si="5"/>
        <v>22</v>
      </c>
      <c r="G253" s="71"/>
      <c r="H253" s="25"/>
      <c r="I253" s="71"/>
      <c r="J253" s="109"/>
      <c r="K253" s="109"/>
      <c r="L253" s="71"/>
      <c r="M253" s="235"/>
      <c r="O253" s="109"/>
    </row>
    <row r="254" spans="1:15" s="5" customFormat="1" ht="12">
      <c r="A254" s="41">
        <f t="shared" si="4"/>
        <v>23</v>
      </c>
      <c r="C254" s="4" t="s">
        <v>152</v>
      </c>
      <c r="E254" s="38">
        <f t="shared" si="5"/>
        <v>23</v>
      </c>
      <c r="G254" s="71"/>
      <c r="H254" s="25"/>
      <c r="I254" s="71"/>
      <c r="J254" s="109"/>
      <c r="K254" s="109"/>
      <c r="L254" s="71"/>
      <c r="M254" s="235"/>
      <c r="O254" s="109"/>
    </row>
    <row r="255" spans="1:15" s="5" customFormat="1" ht="12">
      <c r="A255" s="41">
        <f t="shared" si="4"/>
        <v>24</v>
      </c>
      <c r="C255" s="31" t="s">
        <v>497</v>
      </c>
      <c r="E255" s="38">
        <f t="shared" si="5"/>
        <v>24</v>
      </c>
      <c r="G255" s="71"/>
      <c r="H255" s="25">
        <v>22583</v>
      </c>
      <c r="I255" s="71"/>
      <c r="J255" s="109">
        <v>23373</v>
      </c>
      <c r="K255" s="109"/>
      <c r="L255" s="71"/>
      <c r="M255" s="237">
        <f>(J255-H255)/H255</f>
        <v>0.03498206615595802</v>
      </c>
      <c r="O255" s="109"/>
    </row>
    <row r="256" spans="1:15" s="5" customFormat="1" ht="12">
      <c r="A256" s="41">
        <f t="shared" si="4"/>
        <v>25</v>
      </c>
      <c r="C256" s="31" t="s">
        <v>498</v>
      </c>
      <c r="E256" s="38">
        <f t="shared" si="5"/>
        <v>25</v>
      </c>
      <c r="H256" s="25">
        <v>15615</v>
      </c>
      <c r="J256" s="109">
        <v>16020</v>
      </c>
      <c r="K256" s="109"/>
      <c r="M256" s="237">
        <f>(J256-H256)/H256</f>
        <v>0.025936599423631124</v>
      </c>
      <c r="O256" s="109"/>
    </row>
    <row r="257" spans="1:15" s="5" customFormat="1" ht="12">
      <c r="A257" s="41">
        <f t="shared" si="4"/>
        <v>26</v>
      </c>
      <c r="C257" s="36" t="s">
        <v>499</v>
      </c>
      <c r="E257" s="38">
        <f t="shared" si="5"/>
        <v>26</v>
      </c>
      <c r="G257" s="71"/>
      <c r="H257" s="25">
        <v>17134</v>
      </c>
      <c r="J257" s="109">
        <v>18676</v>
      </c>
      <c r="K257" s="109"/>
      <c r="L257" s="71"/>
      <c r="M257" s="237">
        <f>(J257-H257)/H257</f>
        <v>0.08999649819073188</v>
      </c>
      <c r="O257" s="109"/>
    </row>
    <row r="258" spans="1:15" s="5" customFormat="1" ht="12">
      <c r="A258" s="41">
        <f t="shared" si="4"/>
        <v>27</v>
      </c>
      <c r="C258" s="31" t="s">
        <v>493</v>
      </c>
      <c r="E258" s="38">
        <f t="shared" si="5"/>
        <v>27</v>
      </c>
      <c r="G258" s="71"/>
      <c r="H258" s="25">
        <v>16290</v>
      </c>
      <c r="I258" s="71"/>
      <c r="J258" s="109">
        <v>16875</v>
      </c>
      <c r="K258" s="109"/>
      <c r="L258" s="71"/>
      <c r="M258" s="237">
        <f>(J258-H258)/H258</f>
        <v>0.03591160220994475</v>
      </c>
      <c r="O258" s="109"/>
    </row>
    <row r="259" spans="1:15" s="5" customFormat="1" ht="12">
      <c r="A259" s="41">
        <f t="shared" si="4"/>
        <v>28</v>
      </c>
      <c r="C259" s="31" t="s">
        <v>496</v>
      </c>
      <c r="E259" s="38">
        <f t="shared" si="5"/>
        <v>28</v>
      </c>
      <c r="G259" s="71"/>
      <c r="H259" s="25">
        <v>14508</v>
      </c>
      <c r="I259" s="71"/>
      <c r="J259" s="109">
        <v>15018</v>
      </c>
      <c r="K259" s="109"/>
      <c r="L259" s="71"/>
      <c r="M259" s="237">
        <f>(J259-H259)/H259</f>
        <v>0.035153019023986765</v>
      </c>
      <c r="O259" s="109"/>
    </row>
    <row r="260" spans="1:15" s="5" customFormat="1" ht="0.75" customHeight="1">
      <c r="A260" s="41"/>
      <c r="C260" s="31"/>
      <c r="E260" s="38"/>
      <c r="G260" s="71"/>
      <c r="H260" s="25"/>
      <c r="I260" s="71"/>
      <c r="J260" s="109"/>
      <c r="K260" s="109"/>
      <c r="L260" s="71"/>
      <c r="M260" s="237"/>
      <c r="O260" s="109"/>
    </row>
    <row r="261" spans="1:15" s="5" customFormat="1" ht="12">
      <c r="A261" s="41" t="s">
        <v>500</v>
      </c>
      <c r="C261" s="31"/>
      <c r="E261" s="38"/>
      <c r="G261" s="71"/>
      <c r="H261" s="25"/>
      <c r="I261" s="71"/>
      <c r="J261" s="109"/>
      <c r="K261" s="109"/>
      <c r="L261" s="71"/>
      <c r="M261" s="237"/>
      <c r="O261" s="109"/>
    </row>
    <row r="262" spans="1:15" s="5" customFormat="1" ht="12">
      <c r="A262" s="41" t="s">
        <v>500</v>
      </c>
      <c r="C262" s="31"/>
      <c r="E262" s="38"/>
      <c r="G262" s="71"/>
      <c r="H262" s="25"/>
      <c r="I262" s="71"/>
      <c r="J262" s="109"/>
      <c r="K262" s="109"/>
      <c r="L262" s="71"/>
      <c r="M262" s="237"/>
      <c r="O262" s="109"/>
    </row>
    <row r="263" spans="1:15" s="5" customFormat="1" ht="12">
      <c r="A263" s="41"/>
      <c r="C263" s="31"/>
      <c r="E263" s="38"/>
      <c r="G263" s="71"/>
      <c r="H263" s="25"/>
      <c r="I263" s="71"/>
      <c r="J263" s="109"/>
      <c r="K263" s="109"/>
      <c r="L263" s="71"/>
      <c r="M263" s="237"/>
      <c r="O263" s="109"/>
    </row>
    <row r="264" spans="1:15" s="5" customFormat="1" ht="12">
      <c r="A264" s="41"/>
      <c r="C264" s="31"/>
      <c r="E264" s="38"/>
      <c r="G264" s="71"/>
      <c r="H264" s="25"/>
      <c r="I264" s="71"/>
      <c r="J264" s="109"/>
      <c r="K264" s="109"/>
      <c r="L264" s="71"/>
      <c r="M264" s="237"/>
      <c r="O264" s="109"/>
    </row>
    <row r="265" spans="1:15" s="5" customFormat="1" ht="12">
      <c r="A265" s="41"/>
      <c r="C265" s="31"/>
      <c r="E265" s="38"/>
      <c r="G265" s="71"/>
      <c r="H265" s="25"/>
      <c r="I265" s="71"/>
      <c r="J265" s="109"/>
      <c r="K265" s="109"/>
      <c r="L265" s="71"/>
      <c r="M265" s="237"/>
      <c r="O265" s="109"/>
    </row>
    <row r="266" spans="1:15" s="5" customFormat="1" ht="12">
      <c r="A266" s="41"/>
      <c r="C266" s="31"/>
      <c r="E266" s="38"/>
      <c r="G266" s="71"/>
      <c r="H266" s="25"/>
      <c r="I266" s="71"/>
      <c r="J266" s="109"/>
      <c r="K266" s="109"/>
      <c r="L266" s="71"/>
      <c r="M266" s="237"/>
      <c r="O266" s="109"/>
    </row>
    <row r="267" spans="1:15" s="5" customFormat="1" ht="12">
      <c r="A267" s="41"/>
      <c r="C267" s="31"/>
      <c r="E267" s="38"/>
      <c r="G267" s="71"/>
      <c r="H267" s="25"/>
      <c r="I267" s="71"/>
      <c r="J267" s="109"/>
      <c r="K267" s="109"/>
      <c r="L267" s="71"/>
      <c r="M267" s="237"/>
      <c r="O267" s="109"/>
    </row>
    <row r="268" spans="1:15" s="5" customFormat="1" ht="12">
      <c r="A268" s="41"/>
      <c r="C268" s="31"/>
      <c r="E268" s="38"/>
      <c r="G268" s="71"/>
      <c r="H268" s="25"/>
      <c r="I268" s="71"/>
      <c r="J268" s="109"/>
      <c r="K268" s="109"/>
      <c r="L268" s="71"/>
      <c r="M268" s="237"/>
      <c r="O268" s="109"/>
    </row>
    <row r="269" spans="1:15" s="5" customFormat="1" ht="12">
      <c r="A269" s="41"/>
      <c r="C269" s="31"/>
      <c r="E269" s="38"/>
      <c r="G269" s="71"/>
      <c r="H269" s="25"/>
      <c r="I269" s="71"/>
      <c r="J269" s="109"/>
      <c r="K269" s="109"/>
      <c r="L269" s="71"/>
      <c r="M269" s="237"/>
      <c r="O269" s="109"/>
    </row>
    <row r="270" spans="1:15" s="5" customFormat="1" ht="12">
      <c r="A270" s="41"/>
      <c r="C270" s="31"/>
      <c r="E270" s="38"/>
      <c r="G270" s="71"/>
      <c r="H270" s="25"/>
      <c r="I270" s="71"/>
      <c r="J270" s="109"/>
      <c r="K270" s="109"/>
      <c r="L270" s="71"/>
      <c r="M270" s="237"/>
      <c r="O270" s="109"/>
    </row>
    <row r="271" spans="1:15" s="5" customFormat="1" ht="12">
      <c r="A271" s="41"/>
      <c r="C271" s="31"/>
      <c r="E271" s="38"/>
      <c r="G271" s="71"/>
      <c r="H271" s="25"/>
      <c r="I271" s="71"/>
      <c r="J271" s="109"/>
      <c r="K271" s="109"/>
      <c r="L271" s="71"/>
      <c r="M271" s="237"/>
      <c r="O271" s="109"/>
    </row>
    <row r="272" spans="1:15" s="5" customFormat="1" ht="12">
      <c r="A272" s="41"/>
      <c r="C272" s="31"/>
      <c r="E272" s="38"/>
      <c r="G272" s="71"/>
      <c r="H272" s="25"/>
      <c r="I272" s="71"/>
      <c r="J272" s="109"/>
      <c r="K272" s="109"/>
      <c r="L272" s="71"/>
      <c r="M272" s="237"/>
      <c r="O272" s="109"/>
    </row>
    <row r="273" spans="1:15" s="5" customFormat="1" ht="12">
      <c r="A273" s="41"/>
      <c r="C273" s="31"/>
      <c r="E273" s="38"/>
      <c r="G273" s="71"/>
      <c r="H273" s="25"/>
      <c r="I273" s="71"/>
      <c r="J273" s="109"/>
      <c r="K273" s="109"/>
      <c r="L273" s="71"/>
      <c r="M273" s="237"/>
      <c r="O273" s="109"/>
    </row>
    <row r="274" spans="1:15" s="5" customFormat="1" ht="12">
      <c r="A274" s="68" t="str">
        <f>+A82</f>
        <v>Institution No.:  GFE </v>
      </c>
      <c r="E274" s="38"/>
      <c r="G274" s="71"/>
      <c r="H274" s="86"/>
      <c r="I274" s="71"/>
      <c r="J274" s="189"/>
      <c r="K274" s="189"/>
      <c r="L274" s="71"/>
      <c r="M274" s="189" t="s">
        <v>155</v>
      </c>
      <c r="O274" s="109"/>
    </row>
    <row r="275" spans="1:15" s="5" customFormat="1" ht="12.75" customHeight="1">
      <c r="A275" s="433" t="s">
        <v>156</v>
      </c>
      <c r="B275" s="433"/>
      <c r="C275" s="433"/>
      <c r="D275" s="433"/>
      <c r="E275" s="433"/>
      <c r="F275" s="433"/>
      <c r="G275" s="433"/>
      <c r="H275" s="433"/>
      <c r="I275" s="433"/>
      <c r="J275" s="433"/>
      <c r="K275" s="123"/>
      <c r="L275" s="71"/>
      <c r="M275" s="86"/>
      <c r="O275" s="109"/>
    </row>
    <row r="276" spans="1:15" s="5" customFormat="1" ht="12">
      <c r="A276" s="68" t="str">
        <f>+A84</f>
        <v>NAME:  University of Colorado - HSC</v>
      </c>
      <c r="H276" s="86"/>
      <c r="I276" s="71"/>
      <c r="J276" s="190"/>
      <c r="K276" s="190"/>
      <c r="L276" s="71"/>
      <c r="M276" s="228" t="str">
        <f>+M84</f>
        <v>Date:  10-07</v>
      </c>
      <c r="O276" s="109"/>
    </row>
    <row r="277" spans="1:15" s="5" customFormat="1" ht="12">
      <c r="A277" s="15" t="s">
        <v>1</v>
      </c>
      <c r="B277" s="15" t="s">
        <v>1</v>
      </c>
      <c r="C277" s="15" t="s">
        <v>1</v>
      </c>
      <c r="D277" s="15" t="s">
        <v>1</v>
      </c>
      <c r="E277" s="15" t="s">
        <v>1</v>
      </c>
      <c r="F277" s="15" t="s">
        <v>1</v>
      </c>
      <c r="G277" s="15" t="s">
        <v>1</v>
      </c>
      <c r="H277" s="15" t="s">
        <v>1</v>
      </c>
      <c r="I277" s="15" t="s">
        <v>1</v>
      </c>
      <c r="J277" s="15" t="s">
        <v>1</v>
      </c>
      <c r="K277" s="15"/>
      <c r="L277" s="15" t="s">
        <v>1</v>
      </c>
      <c r="M277" s="15" t="s">
        <v>1</v>
      </c>
      <c r="O277" s="109"/>
    </row>
    <row r="278" spans="1:15" s="5" customFormat="1" ht="12">
      <c r="A278" s="73" t="s">
        <v>2</v>
      </c>
      <c r="E278" s="73" t="s">
        <v>2</v>
      </c>
      <c r="G278" s="89"/>
      <c r="H278" s="123" t="str">
        <f>H229</f>
        <v>2006-07</v>
      </c>
      <c r="I278" s="89"/>
      <c r="J278" s="123" t="str">
        <f>J229</f>
        <v>2007-08</v>
      </c>
      <c r="K278" s="123"/>
      <c r="L278" s="89"/>
      <c r="M278" s="123" t="s">
        <v>491</v>
      </c>
      <c r="O278" s="109"/>
    </row>
    <row r="279" spans="1:15" s="5" customFormat="1" ht="12">
      <c r="A279" s="73" t="s">
        <v>4</v>
      </c>
      <c r="C279" s="4" t="s">
        <v>0</v>
      </c>
      <c r="E279" s="73" t="s">
        <v>4</v>
      </c>
      <c r="G279" s="71"/>
      <c r="H279" s="123" t="str">
        <f>$H$87</f>
        <v>Actual</v>
      </c>
      <c r="I279" s="71"/>
      <c r="J279" s="123" t="str">
        <f>$J$87</f>
        <v>Actual</v>
      </c>
      <c r="K279" s="123"/>
      <c r="L279" s="71"/>
      <c r="M279" s="123" t="s">
        <v>307</v>
      </c>
      <c r="O279" s="109"/>
    </row>
    <row r="280" spans="1:15" s="5" customFormat="1" ht="12">
      <c r="A280" s="15" t="s">
        <v>1</v>
      </c>
      <c r="B280" s="15" t="s">
        <v>1</v>
      </c>
      <c r="C280" s="15" t="s">
        <v>1</v>
      </c>
      <c r="D280" s="15" t="s">
        <v>1</v>
      </c>
      <c r="E280" s="15" t="s">
        <v>1</v>
      </c>
      <c r="F280" s="15" t="s">
        <v>1</v>
      </c>
      <c r="G280" s="15" t="s">
        <v>1</v>
      </c>
      <c r="H280" s="15" t="s">
        <v>1</v>
      </c>
      <c r="I280" s="15" t="s">
        <v>1</v>
      </c>
      <c r="J280" s="15" t="s">
        <v>1</v>
      </c>
      <c r="K280" s="15"/>
      <c r="L280" s="15" t="s">
        <v>1</v>
      </c>
      <c r="M280" s="15" t="s">
        <v>1</v>
      </c>
      <c r="O280" s="109"/>
    </row>
    <row r="281" spans="1:15" s="5" customFormat="1" ht="12">
      <c r="A281" s="30">
        <v>1</v>
      </c>
      <c r="C281" s="4" t="s">
        <v>150</v>
      </c>
      <c r="E281" s="30">
        <v>1</v>
      </c>
      <c r="G281" s="71"/>
      <c r="H281" s="86"/>
      <c r="I281" s="71"/>
      <c r="J281" s="86"/>
      <c r="K281" s="86"/>
      <c r="L281" s="71"/>
      <c r="M281" s="86"/>
      <c r="O281" s="109"/>
    </row>
    <row r="282" spans="1:15" s="5" customFormat="1" ht="12">
      <c r="A282" s="30">
        <f>(A281+1)</f>
        <v>2</v>
      </c>
      <c r="C282" s="4" t="s">
        <v>151</v>
      </c>
      <c r="E282" s="30">
        <v>2</v>
      </c>
      <c r="F282" s="77"/>
      <c r="G282" s="77"/>
      <c r="H282" s="77"/>
      <c r="I282" s="77"/>
      <c r="J282" s="235"/>
      <c r="K282" s="235"/>
      <c r="L282" s="77"/>
      <c r="M282" s="235"/>
      <c r="O282" s="109"/>
    </row>
    <row r="283" spans="1:15" s="5" customFormat="1" ht="13.5" customHeight="1">
      <c r="A283" s="30">
        <f>(A282+1)</f>
        <v>3</v>
      </c>
      <c r="C283" s="4" t="s">
        <v>152</v>
      </c>
      <c r="E283" s="30">
        <v>3</v>
      </c>
      <c r="F283" s="77"/>
      <c r="G283" s="77"/>
      <c r="H283" s="77"/>
      <c r="I283" s="77"/>
      <c r="J283" s="77"/>
      <c r="K283" s="77"/>
      <c r="L283" s="77"/>
      <c r="M283" s="77"/>
      <c r="O283" s="109"/>
    </row>
    <row r="284" spans="1:15" s="5" customFormat="1" ht="14.25" customHeight="1">
      <c r="A284" s="30">
        <f>(A283+1)</f>
        <v>4</v>
      </c>
      <c r="C284" s="4" t="s">
        <v>492</v>
      </c>
      <c r="E284" s="30">
        <v>4</v>
      </c>
      <c r="F284" s="77"/>
      <c r="G284" s="77"/>
      <c r="H284" s="238">
        <v>29610</v>
      </c>
      <c r="I284" s="77"/>
      <c r="J284" s="109">
        <v>30645</v>
      </c>
      <c r="K284" s="109"/>
      <c r="L284" s="77"/>
      <c r="M284" s="237">
        <f>(J284-H284)/H284</f>
        <v>0.034954407294832825</v>
      </c>
      <c r="O284" s="109"/>
    </row>
    <row r="285" spans="1:15" s="5" customFormat="1" ht="12">
      <c r="A285" s="30">
        <f>(A284+1)</f>
        <v>5</v>
      </c>
      <c r="C285" s="5" t="s">
        <v>501</v>
      </c>
      <c r="E285" s="30">
        <f>(E284+1)</f>
        <v>5</v>
      </c>
      <c r="F285" s="77"/>
      <c r="G285" s="77"/>
      <c r="H285" s="238">
        <v>33840</v>
      </c>
      <c r="I285" s="77"/>
      <c r="J285" s="109">
        <v>35010</v>
      </c>
      <c r="K285" s="109"/>
      <c r="L285" s="77"/>
      <c r="M285" s="237">
        <f>(J285-H285)/H285</f>
        <v>0.034574468085106384</v>
      </c>
      <c r="O285" s="109"/>
    </row>
    <row r="286" spans="1:15" s="5" customFormat="1" ht="12">
      <c r="A286" s="30">
        <f aca="true" t="shared" si="6" ref="A286:A308">(A285+1)</f>
        <v>6</v>
      </c>
      <c r="E286" s="30">
        <f aca="true" t="shared" si="7" ref="E286:E308">(E285+1)</f>
        <v>6</v>
      </c>
      <c r="G286" s="71"/>
      <c r="H286" s="25"/>
      <c r="I286" s="71"/>
      <c r="J286" s="109"/>
      <c r="K286" s="109"/>
      <c r="L286" s="71"/>
      <c r="M286" s="235"/>
      <c r="O286" s="109"/>
    </row>
    <row r="287" spans="1:15" s="5" customFormat="1" ht="12.75" customHeight="1">
      <c r="A287" s="30">
        <f t="shared" si="6"/>
        <v>7</v>
      </c>
      <c r="C287" s="4" t="s">
        <v>0</v>
      </c>
      <c r="E287" s="30">
        <f t="shared" si="7"/>
        <v>7</v>
      </c>
      <c r="G287" s="71"/>
      <c r="H287" s="25"/>
      <c r="I287" s="71"/>
      <c r="J287" s="109"/>
      <c r="K287" s="109"/>
      <c r="L287" s="71"/>
      <c r="M287" s="235"/>
      <c r="O287" s="109"/>
    </row>
    <row r="288" spans="1:15" s="5" customFormat="1" ht="14.25" customHeight="1">
      <c r="A288" s="30">
        <f t="shared" si="6"/>
        <v>8</v>
      </c>
      <c r="C288" s="4" t="s">
        <v>0</v>
      </c>
      <c r="E288" s="30">
        <f t="shared" si="7"/>
        <v>8</v>
      </c>
      <c r="G288" s="71"/>
      <c r="H288" s="25"/>
      <c r="I288" s="71"/>
      <c r="J288" s="109"/>
      <c r="K288" s="109"/>
      <c r="L288" s="71"/>
      <c r="M288" s="235"/>
      <c r="O288" s="109"/>
    </row>
    <row r="289" spans="1:15" s="5" customFormat="1" ht="12">
      <c r="A289" s="30">
        <f t="shared" si="6"/>
        <v>9</v>
      </c>
      <c r="C289" s="4"/>
      <c r="E289" s="30">
        <f t="shared" si="7"/>
        <v>9</v>
      </c>
      <c r="G289" s="71"/>
      <c r="H289" s="25"/>
      <c r="I289" s="71"/>
      <c r="J289" s="109"/>
      <c r="K289" s="109"/>
      <c r="L289" s="71"/>
      <c r="M289" s="235"/>
      <c r="O289" s="109"/>
    </row>
    <row r="290" spans="1:15" s="5" customFormat="1" ht="13.5" customHeight="1">
      <c r="A290" s="30">
        <f t="shared" si="6"/>
        <v>10</v>
      </c>
      <c r="C290" s="4"/>
      <c r="E290" s="30">
        <f t="shared" si="7"/>
        <v>10</v>
      </c>
      <c r="G290" s="71"/>
      <c r="H290" s="25"/>
      <c r="I290" s="71"/>
      <c r="J290" s="109"/>
      <c r="K290" s="109"/>
      <c r="L290" s="71"/>
      <c r="M290" s="235"/>
      <c r="O290" s="109"/>
    </row>
    <row r="291" spans="1:15" s="5" customFormat="1" ht="13.5" customHeight="1">
      <c r="A291" s="30">
        <f t="shared" si="6"/>
        <v>11</v>
      </c>
      <c r="C291" s="4" t="s">
        <v>153</v>
      </c>
      <c r="E291" s="30">
        <f t="shared" si="7"/>
        <v>11</v>
      </c>
      <c r="G291" s="71"/>
      <c r="H291" s="25"/>
      <c r="I291" s="71"/>
      <c r="J291" s="109"/>
      <c r="K291" s="109"/>
      <c r="L291" s="71"/>
      <c r="M291" s="235"/>
      <c r="O291" s="109"/>
    </row>
    <row r="292" spans="1:15" s="5" customFormat="1" ht="12">
      <c r="A292" s="30">
        <f t="shared" si="6"/>
        <v>12</v>
      </c>
      <c r="C292" s="4" t="s">
        <v>151</v>
      </c>
      <c r="E292" s="30">
        <f t="shared" si="7"/>
        <v>12</v>
      </c>
      <c r="G292" s="71"/>
      <c r="H292" s="25"/>
      <c r="I292" s="71"/>
      <c r="J292" s="109"/>
      <c r="K292" s="109"/>
      <c r="L292" s="71"/>
      <c r="M292" s="235"/>
      <c r="O292" s="109"/>
    </row>
    <row r="293" spans="1:15" s="5" customFormat="1" ht="12">
      <c r="A293" s="30">
        <f t="shared" si="6"/>
        <v>13</v>
      </c>
      <c r="C293" s="4" t="s">
        <v>152</v>
      </c>
      <c r="E293" s="30">
        <f t="shared" si="7"/>
        <v>13</v>
      </c>
      <c r="G293" s="71"/>
      <c r="H293" s="25"/>
      <c r="I293" s="71"/>
      <c r="J293" s="109"/>
      <c r="K293" s="109"/>
      <c r="L293" s="71"/>
      <c r="M293" s="235"/>
      <c r="O293" s="109"/>
    </row>
    <row r="294" spans="1:15" s="5" customFormat="1" ht="12">
      <c r="A294" s="30">
        <f t="shared" si="6"/>
        <v>14</v>
      </c>
      <c r="C294" s="31" t="s">
        <v>494</v>
      </c>
      <c r="E294" s="30">
        <f t="shared" si="7"/>
        <v>14</v>
      </c>
      <c r="F294" s="27"/>
      <c r="G294" s="185"/>
      <c r="H294" s="238">
        <f>8625*3</f>
        <v>25875</v>
      </c>
      <c r="I294" s="185"/>
      <c r="J294" s="238">
        <f>8625*3</f>
        <v>25875</v>
      </c>
      <c r="K294" s="238"/>
      <c r="L294" s="185"/>
      <c r="M294" s="237">
        <f>(J294-H294)/H294</f>
        <v>0</v>
      </c>
      <c r="O294" s="109"/>
    </row>
    <row r="295" spans="1:15" s="5" customFormat="1" ht="12">
      <c r="A295" s="30">
        <f t="shared" si="6"/>
        <v>15</v>
      </c>
      <c r="C295" s="31" t="s">
        <v>495</v>
      </c>
      <c r="E295" s="30">
        <f t="shared" si="7"/>
        <v>15</v>
      </c>
      <c r="F295" s="27"/>
      <c r="G295" s="185"/>
      <c r="H295" s="239" t="s">
        <v>488</v>
      </c>
      <c r="I295" s="185"/>
      <c r="J295" s="33" t="s">
        <v>488</v>
      </c>
      <c r="K295" s="33"/>
      <c r="L295" s="185"/>
      <c r="M295" s="237"/>
      <c r="O295" s="109"/>
    </row>
    <row r="296" spans="1:15" s="5" customFormat="1" ht="12" customHeight="1">
      <c r="A296" s="30">
        <f t="shared" si="6"/>
        <v>16</v>
      </c>
      <c r="C296" s="31" t="s">
        <v>493</v>
      </c>
      <c r="E296" s="30">
        <f t="shared" si="7"/>
        <v>16</v>
      </c>
      <c r="F296" s="27"/>
      <c r="G296" s="185"/>
      <c r="H296" s="238">
        <v>44055</v>
      </c>
      <c r="I296" s="185"/>
      <c r="J296" s="238">
        <v>44055</v>
      </c>
      <c r="K296" s="238"/>
      <c r="L296" s="185"/>
      <c r="M296" s="237">
        <f>(J296-H296)/H296</f>
        <v>0</v>
      </c>
      <c r="O296" s="109"/>
    </row>
    <row r="297" spans="1:15" s="5" customFormat="1" ht="12">
      <c r="A297" s="30">
        <f t="shared" si="6"/>
        <v>17</v>
      </c>
      <c r="C297" s="31" t="s">
        <v>496</v>
      </c>
      <c r="E297" s="30">
        <f t="shared" si="7"/>
        <v>17</v>
      </c>
      <c r="F297" s="27"/>
      <c r="G297" s="185"/>
      <c r="H297" s="238">
        <f>5175*3</f>
        <v>15525</v>
      </c>
      <c r="I297" s="185"/>
      <c r="J297" s="238">
        <f>5175*3</f>
        <v>15525</v>
      </c>
      <c r="K297" s="238"/>
      <c r="L297" s="185"/>
      <c r="M297" s="237">
        <f>(J297-H297)/H297</f>
        <v>0</v>
      </c>
      <c r="O297" s="109"/>
    </row>
    <row r="298" spans="1:15" s="5" customFormat="1" ht="12" customHeight="1">
      <c r="A298" s="30">
        <f t="shared" si="6"/>
        <v>18</v>
      </c>
      <c r="E298" s="30">
        <f t="shared" si="7"/>
        <v>18</v>
      </c>
      <c r="G298" s="71"/>
      <c r="H298" s="238"/>
      <c r="I298" s="71"/>
      <c r="J298" s="109"/>
      <c r="K298" s="109"/>
      <c r="L298" s="71"/>
      <c r="M298" s="235"/>
      <c r="O298" s="109"/>
    </row>
    <row r="299" spans="1:15" s="5" customFormat="1" ht="10.5" customHeight="1">
      <c r="A299" s="30">
        <f t="shared" si="6"/>
        <v>19</v>
      </c>
      <c r="E299" s="30">
        <f t="shared" si="7"/>
        <v>19</v>
      </c>
      <c r="G299" s="71"/>
      <c r="H299" s="238"/>
      <c r="I299" s="71"/>
      <c r="J299" s="109"/>
      <c r="K299" s="109"/>
      <c r="L299" s="71"/>
      <c r="M299" s="235"/>
      <c r="O299" s="109"/>
    </row>
    <row r="300" spans="1:15" s="5" customFormat="1" ht="14.25" customHeight="1">
      <c r="A300" s="30">
        <f t="shared" si="6"/>
        <v>20</v>
      </c>
      <c r="E300" s="30">
        <f t="shared" si="7"/>
        <v>20</v>
      </c>
      <c r="G300" s="71"/>
      <c r="H300" s="238"/>
      <c r="I300" s="71"/>
      <c r="J300" s="109"/>
      <c r="K300" s="109"/>
      <c r="L300" s="71"/>
      <c r="M300" s="235"/>
      <c r="O300" s="109"/>
    </row>
    <row r="301" spans="1:15" s="5" customFormat="1" ht="12">
      <c r="A301" s="30">
        <f t="shared" si="6"/>
        <v>21</v>
      </c>
      <c r="C301" s="4" t="s">
        <v>154</v>
      </c>
      <c r="E301" s="30">
        <f t="shared" si="7"/>
        <v>21</v>
      </c>
      <c r="G301" s="71"/>
      <c r="H301" s="238"/>
      <c r="I301" s="71"/>
      <c r="J301" s="109"/>
      <c r="K301" s="109"/>
      <c r="L301" s="71"/>
      <c r="M301" s="235"/>
      <c r="O301" s="109"/>
    </row>
    <row r="302" spans="1:15" s="5" customFormat="1" ht="12">
      <c r="A302" s="30">
        <f t="shared" si="6"/>
        <v>22</v>
      </c>
      <c r="C302" s="4" t="s">
        <v>151</v>
      </c>
      <c r="E302" s="30">
        <f t="shared" si="7"/>
        <v>22</v>
      </c>
      <c r="G302" s="71"/>
      <c r="H302" s="238"/>
      <c r="I302" s="71"/>
      <c r="J302" s="109"/>
      <c r="K302" s="109"/>
      <c r="L302" s="71"/>
      <c r="M302" s="235"/>
      <c r="O302" s="109"/>
    </row>
    <row r="303" spans="1:15" s="5" customFormat="1" ht="12">
      <c r="A303" s="30">
        <f t="shared" si="6"/>
        <v>23</v>
      </c>
      <c r="C303" s="4" t="s">
        <v>152</v>
      </c>
      <c r="E303" s="30">
        <f t="shared" si="7"/>
        <v>23</v>
      </c>
      <c r="G303" s="71"/>
      <c r="H303" s="238"/>
      <c r="I303" s="71"/>
      <c r="J303" s="109"/>
      <c r="K303" s="109"/>
      <c r="L303" s="71"/>
      <c r="M303" s="235"/>
      <c r="O303" s="109"/>
    </row>
    <row r="304" spans="1:15" s="5" customFormat="1" ht="12">
      <c r="A304" s="30">
        <f t="shared" si="6"/>
        <v>24</v>
      </c>
      <c r="C304" s="31" t="s">
        <v>497</v>
      </c>
      <c r="E304" s="30">
        <f t="shared" si="7"/>
        <v>24</v>
      </c>
      <c r="G304" s="71"/>
      <c r="H304" s="238">
        <v>74098</v>
      </c>
      <c r="I304" s="71"/>
      <c r="J304" s="33">
        <v>76691</v>
      </c>
      <c r="K304" s="33"/>
      <c r="L304" s="71"/>
      <c r="M304" s="237">
        <f>(J304-H304)/H304</f>
        <v>0.034994196874409564</v>
      </c>
      <c r="O304" s="109"/>
    </row>
    <row r="305" spans="1:15" s="5" customFormat="1" ht="12">
      <c r="A305" s="30">
        <f t="shared" si="6"/>
        <v>25</v>
      </c>
      <c r="C305" s="31" t="s">
        <v>498</v>
      </c>
      <c r="E305" s="30">
        <f t="shared" si="7"/>
        <v>25</v>
      </c>
      <c r="H305" s="238">
        <v>36630</v>
      </c>
      <c r="J305" s="238">
        <v>36630</v>
      </c>
      <c r="K305" s="238"/>
      <c r="M305" s="237">
        <f>(J305-H305)/H305</f>
        <v>0</v>
      </c>
      <c r="O305" s="109"/>
    </row>
    <row r="306" spans="1:15" s="5" customFormat="1" ht="12">
      <c r="A306" s="30">
        <f t="shared" si="6"/>
        <v>26</v>
      </c>
      <c r="C306" s="36" t="s">
        <v>499</v>
      </c>
      <c r="E306" s="30">
        <f t="shared" si="7"/>
        <v>26</v>
      </c>
      <c r="H306" s="238">
        <v>40689</v>
      </c>
      <c r="J306" s="33">
        <v>42113</v>
      </c>
      <c r="K306" s="33"/>
      <c r="M306" s="237">
        <f>(J306-H306)/H306</f>
        <v>0.03499717368330507</v>
      </c>
      <c r="O306" s="109"/>
    </row>
    <row r="307" spans="1:15" s="5" customFormat="1" ht="12">
      <c r="A307" s="30">
        <f t="shared" si="6"/>
        <v>27</v>
      </c>
      <c r="C307" s="31" t="s">
        <v>493</v>
      </c>
      <c r="E307" s="30">
        <f t="shared" si="7"/>
        <v>27</v>
      </c>
      <c r="G307" s="71"/>
      <c r="H307" s="238">
        <v>44055</v>
      </c>
      <c r="I307" s="71"/>
      <c r="J307" s="109">
        <v>44055</v>
      </c>
      <c r="K307" s="109"/>
      <c r="L307" s="71"/>
      <c r="M307" s="237">
        <f>(J307-H307)/H307</f>
        <v>0</v>
      </c>
      <c r="O307" s="109"/>
    </row>
    <row r="308" spans="1:15" s="5" customFormat="1" ht="12">
      <c r="A308" s="30">
        <f t="shared" si="6"/>
        <v>28</v>
      </c>
      <c r="C308" s="31" t="s">
        <v>496</v>
      </c>
      <c r="E308" s="30">
        <f t="shared" si="7"/>
        <v>28</v>
      </c>
      <c r="G308" s="71"/>
      <c r="H308" s="238">
        <v>28560</v>
      </c>
      <c r="I308" s="71"/>
      <c r="J308" s="109">
        <v>28848</v>
      </c>
      <c r="K308" s="109"/>
      <c r="L308" s="71"/>
      <c r="M308" s="237">
        <f>(J308-H308)/H308</f>
        <v>0.010084033613445379</v>
      </c>
      <c r="O308" s="109"/>
    </row>
    <row r="309" spans="1:15" s="5" customFormat="1" ht="12">
      <c r="A309" s="4"/>
      <c r="I309" s="71"/>
      <c r="J309" s="86"/>
      <c r="K309" s="86"/>
      <c r="O309" s="109"/>
    </row>
    <row r="310" spans="1:15" s="5" customFormat="1" ht="12">
      <c r="A310" s="41" t="s">
        <v>502</v>
      </c>
      <c r="H310" s="86"/>
      <c r="J310" s="86"/>
      <c r="K310" s="86"/>
      <c r="M310" s="86"/>
      <c r="O310" s="109"/>
    </row>
    <row r="311" spans="1:15" s="5" customFormat="1" ht="12">
      <c r="A311" s="41"/>
      <c r="H311" s="86"/>
      <c r="J311" s="86"/>
      <c r="K311" s="86"/>
      <c r="M311" s="86"/>
      <c r="O311" s="109"/>
    </row>
    <row r="312" spans="1:15" s="5" customFormat="1" ht="12">
      <c r="A312" s="41"/>
      <c r="H312" s="86"/>
      <c r="J312" s="86"/>
      <c r="K312" s="86"/>
      <c r="M312" s="86"/>
      <c r="O312" s="109"/>
    </row>
    <row r="313" spans="1:15" s="5" customFormat="1" ht="12">
      <c r="A313" s="41"/>
      <c r="H313" s="86"/>
      <c r="J313" s="86"/>
      <c r="K313" s="86"/>
      <c r="M313" s="86"/>
      <c r="O313" s="109"/>
    </row>
    <row r="314" spans="1:15" s="5" customFormat="1" ht="12">
      <c r="A314" s="41"/>
      <c r="H314" s="86"/>
      <c r="J314" s="86"/>
      <c r="K314" s="86"/>
      <c r="M314" s="86"/>
      <c r="O314" s="109"/>
    </row>
    <row r="315" spans="1:15" s="5" customFormat="1" ht="12">
      <c r="A315" s="41"/>
      <c r="H315" s="86"/>
      <c r="J315" s="86"/>
      <c r="K315" s="86"/>
      <c r="M315" s="86"/>
      <c r="O315" s="109"/>
    </row>
    <row r="316" spans="1:15" s="5" customFormat="1" ht="12">
      <c r="A316" s="41"/>
      <c r="H316" s="86"/>
      <c r="J316" s="86"/>
      <c r="K316" s="86"/>
      <c r="M316" s="86"/>
      <c r="O316" s="109"/>
    </row>
    <row r="317" spans="1:15" s="5" customFormat="1" ht="12">
      <c r="A317" s="41"/>
      <c r="H317" s="86"/>
      <c r="J317" s="86"/>
      <c r="K317" s="86"/>
      <c r="M317" s="86"/>
      <c r="O317" s="109"/>
    </row>
    <row r="318" spans="1:15" s="5" customFormat="1" ht="12">
      <c r="A318" s="41"/>
      <c r="H318" s="86"/>
      <c r="J318" s="86"/>
      <c r="K318" s="86"/>
      <c r="M318" s="86"/>
      <c r="O318" s="109"/>
    </row>
    <row r="319" spans="1:15" s="5" customFormat="1" ht="12">
      <c r="A319" s="41"/>
      <c r="H319" s="86"/>
      <c r="J319" s="86"/>
      <c r="K319" s="86"/>
      <c r="M319" s="86"/>
      <c r="O319" s="109"/>
    </row>
    <row r="320" spans="1:15" s="5" customFormat="1" ht="12">
      <c r="A320" s="41"/>
      <c r="H320" s="86"/>
      <c r="J320" s="86"/>
      <c r="K320" s="86"/>
      <c r="M320" s="86"/>
      <c r="O320" s="109"/>
    </row>
    <row r="321" spans="1:14" s="5" customFormat="1" ht="12.75">
      <c r="A321" s="411"/>
      <c r="C321" s="412" t="s">
        <v>649</v>
      </c>
      <c r="E321" s="413"/>
      <c r="I321" s="414" t="s">
        <v>176</v>
      </c>
      <c r="J321" s="86"/>
      <c r="L321" s="86"/>
      <c r="N321" s="109"/>
    </row>
    <row r="322" spans="1:14" s="5" customFormat="1" ht="12.75">
      <c r="A322" s="411"/>
      <c r="I322" s="411"/>
      <c r="J322" s="86"/>
      <c r="L322" s="86"/>
      <c r="N322" s="109"/>
    </row>
    <row r="323" spans="1:14" s="5" customFormat="1" ht="12.75">
      <c r="A323" s="411"/>
      <c r="C323" s="412" t="s">
        <v>479</v>
      </c>
      <c r="E323" s="360" t="s">
        <v>650</v>
      </c>
      <c r="I323" s="415" t="s">
        <v>651</v>
      </c>
      <c r="J323" s="86"/>
      <c r="L323" s="86"/>
      <c r="N323" s="109"/>
    </row>
    <row r="324" spans="1:14" s="5" customFormat="1" ht="12.75">
      <c r="A324" s="411"/>
      <c r="C324" s="15" t="s">
        <v>1</v>
      </c>
      <c r="D324" s="15" t="s">
        <v>1</v>
      </c>
      <c r="E324" s="15" t="s">
        <v>1</v>
      </c>
      <c r="F324" s="15" t="s">
        <v>1</v>
      </c>
      <c r="G324" s="15" t="s">
        <v>1</v>
      </c>
      <c r="H324" s="15" t="s">
        <v>1</v>
      </c>
      <c r="I324" s="416" t="s">
        <v>1</v>
      </c>
      <c r="J324" s="86"/>
      <c r="L324" s="86"/>
      <c r="N324" s="109"/>
    </row>
    <row r="325" spans="1:14" s="5" customFormat="1" ht="12.75">
      <c r="A325" s="411"/>
      <c r="D325" s="74" t="s">
        <v>652</v>
      </c>
      <c r="G325" s="74" t="s">
        <v>172</v>
      </c>
      <c r="I325" s="411"/>
      <c r="J325" s="86"/>
      <c r="L325" s="86"/>
      <c r="N325" s="109"/>
    </row>
    <row r="326" spans="1:14" s="5" customFormat="1" ht="12.75">
      <c r="A326" s="411"/>
      <c r="D326" s="74" t="s">
        <v>178</v>
      </c>
      <c r="G326" s="74" t="s">
        <v>178</v>
      </c>
      <c r="I326" s="411"/>
      <c r="J326" s="86"/>
      <c r="L326" s="86"/>
      <c r="N326" s="109"/>
    </row>
    <row r="327" spans="1:14" s="5" customFormat="1" ht="12.75">
      <c r="A327" s="411"/>
      <c r="D327" s="74" t="s">
        <v>21</v>
      </c>
      <c r="E327" s="74" t="s">
        <v>21</v>
      </c>
      <c r="F327" s="74" t="s">
        <v>179</v>
      </c>
      <c r="G327" s="74" t="s">
        <v>21</v>
      </c>
      <c r="H327" s="74" t="s">
        <v>21</v>
      </c>
      <c r="I327" s="417" t="s">
        <v>179</v>
      </c>
      <c r="J327" s="86"/>
      <c r="L327" s="86"/>
      <c r="N327" s="109"/>
    </row>
    <row r="328" spans="1:14" s="5" customFormat="1" ht="12.75">
      <c r="A328" s="411"/>
      <c r="C328" s="74" t="s">
        <v>180</v>
      </c>
      <c r="D328" s="74" t="s">
        <v>181</v>
      </c>
      <c r="E328" s="74" t="s">
        <v>182</v>
      </c>
      <c r="F328" s="74" t="s">
        <v>183</v>
      </c>
      <c r="G328" s="74" t="s">
        <v>181</v>
      </c>
      <c r="H328" s="74" t="s">
        <v>182</v>
      </c>
      <c r="I328" s="417" t="s">
        <v>183</v>
      </c>
      <c r="J328" s="86"/>
      <c r="L328" s="86"/>
      <c r="N328" s="109"/>
    </row>
    <row r="329" spans="1:14" s="5" customFormat="1" ht="12.75">
      <c r="A329" s="411"/>
      <c r="C329" s="15" t="s">
        <v>1</v>
      </c>
      <c r="D329" s="15" t="s">
        <v>1</v>
      </c>
      <c r="E329" s="15" t="s">
        <v>1</v>
      </c>
      <c r="F329" s="15" t="s">
        <v>1</v>
      </c>
      <c r="G329" s="15" t="s">
        <v>1</v>
      </c>
      <c r="H329" s="15" t="s">
        <v>1</v>
      </c>
      <c r="I329" s="416" t="s">
        <v>1</v>
      </c>
      <c r="J329" s="86"/>
      <c r="L329" s="86"/>
      <c r="N329" s="109"/>
    </row>
    <row r="330" spans="1:14" s="5" customFormat="1" ht="12.75">
      <c r="A330" s="411"/>
      <c r="I330" s="411"/>
      <c r="J330" s="86"/>
      <c r="L330" s="86"/>
      <c r="N330" s="109"/>
    </row>
    <row r="331" spans="1:14" s="5" customFormat="1" ht="12.75">
      <c r="A331" s="411"/>
      <c r="C331" s="4" t="s">
        <v>184</v>
      </c>
      <c r="F331" s="41"/>
      <c r="I331" s="418"/>
      <c r="J331" s="86"/>
      <c r="L331" s="86"/>
      <c r="N331" s="109"/>
    </row>
    <row r="332" spans="1:14" s="5" customFormat="1" ht="12.75">
      <c r="A332" s="411"/>
      <c r="I332" s="411"/>
      <c r="J332" s="86"/>
      <c r="L332" s="86"/>
      <c r="N332" s="109"/>
    </row>
    <row r="333" spans="1:14" s="5" customFormat="1" ht="12.75">
      <c r="A333" s="411"/>
      <c r="C333" s="4" t="s">
        <v>185</v>
      </c>
      <c r="F333" s="41"/>
      <c r="I333" s="418"/>
      <c r="J333" s="86"/>
      <c r="L333" s="86"/>
      <c r="N333" s="109"/>
    </row>
    <row r="334" spans="1:14" s="5" customFormat="1" ht="12.75">
      <c r="A334" s="411"/>
      <c r="I334" s="411"/>
      <c r="J334" s="86"/>
      <c r="L334" s="86"/>
      <c r="N334" s="109"/>
    </row>
    <row r="335" spans="1:14" s="5" customFormat="1" ht="12.75">
      <c r="A335" s="411"/>
      <c r="C335" s="4" t="s">
        <v>186</v>
      </c>
      <c r="D335" s="352">
        <v>422</v>
      </c>
      <c r="F335" s="41"/>
      <c r="G335" s="192">
        <v>421</v>
      </c>
      <c r="I335" s="418"/>
      <c r="J335" s="86"/>
      <c r="L335" s="86"/>
      <c r="N335" s="109"/>
    </row>
    <row r="336" spans="1:14" s="5" customFormat="1" ht="12.75">
      <c r="A336" s="411"/>
      <c r="D336" s="352"/>
      <c r="G336" s="192"/>
      <c r="I336" s="411"/>
      <c r="J336" s="86"/>
      <c r="L336" s="86"/>
      <c r="N336" s="109"/>
    </row>
    <row r="337" spans="1:14" s="5" customFormat="1" ht="12.75">
      <c r="A337" s="411"/>
      <c r="C337" s="4" t="s">
        <v>187</v>
      </c>
      <c r="D337" s="352">
        <v>422</v>
      </c>
      <c r="F337" s="41"/>
      <c r="G337" s="192">
        <v>421</v>
      </c>
      <c r="I337" s="418"/>
      <c r="J337" s="86"/>
      <c r="L337" s="86"/>
      <c r="N337" s="109"/>
    </row>
    <row r="338" spans="1:14" s="5" customFormat="1" ht="12.75">
      <c r="A338" s="411"/>
      <c r="D338" s="352"/>
      <c r="G338" s="192"/>
      <c r="I338" s="411"/>
      <c r="J338" s="86"/>
      <c r="L338" s="86"/>
      <c r="N338" s="109"/>
    </row>
    <row r="339" spans="1:14" s="5" customFormat="1" ht="12.75">
      <c r="A339" s="411"/>
      <c r="D339" s="352"/>
      <c r="G339" s="192"/>
      <c r="I339" s="411"/>
      <c r="J339" s="86"/>
      <c r="L339" s="86"/>
      <c r="N339" s="109"/>
    </row>
    <row r="340" spans="1:14" s="5" customFormat="1" ht="12.75">
      <c r="A340" s="411"/>
      <c r="C340" s="4" t="s">
        <v>188</v>
      </c>
      <c r="D340" s="352">
        <v>614</v>
      </c>
      <c r="F340" s="41"/>
      <c r="G340" s="192">
        <v>630</v>
      </c>
      <c r="I340" s="418"/>
      <c r="J340" s="86"/>
      <c r="L340" s="86"/>
      <c r="N340" s="109"/>
    </row>
    <row r="341" spans="1:14" s="5" customFormat="1" ht="12.75">
      <c r="A341" s="411"/>
      <c r="D341" s="352"/>
      <c r="G341" s="192"/>
      <c r="I341" s="411"/>
      <c r="J341" s="86"/>
      <c r="L341" s="86"/>
      <c r="N341" s="109"/>
    </row>
    <row r="342" spans="1:14" s="5" customFormat="1" ht="12.75">
      <c r="A342" s="419" t="s">
        <v>0</v>
      </c>
      <c r="C342" s="4" t="s">
        <v>189</v>
      </c>
      <c r="D342" s="352">
        <v>402</v>
      </c>
      <c r="F342" s="41"/>
      <c r="G342" s="192">
        <v>404</v>
      </c>
      <c r="I342" s="418"/>
      <c r="J342" s="86"/>
      <c r="L342" s="86"/>
      <c r="N342" s="109"/>
    </row>
    <row r="343" spans="1:14" s="5" customFormat="1" ht="12.75">
      <c r="A343" s="411"/>
      <c r="D343" s="352"/>
      <c r="G343" s="192"/>
      <c r="I343" s="411"/>
      <c r="J343" s="86"/>
      <c r="L343" s="86"/>
      <c r="N343" s="109"/>
    </row>
    <row r="344" spans="1:14" s="5" customFormat="1" ht="12.75">
      <c r="A344" s="411"/>
      <c r="C344" s="4" t="s">
        <v>190</v>
      </c>
      <c r="D344" s="352">
        <v>1016</v>
      </c>
      <c r="F344" s="41"/>
      <c r="G344" s="192">
        <v>1034</v>
      </c>
      <c r="I344" s="418"/>
      <c r="J344" s="86"/>
      <c r="L344" s="86"/>
      <c r="N344" s="109"/>
    </row>
    <row r="345" spans="1:14" s="5" customFormat="1" ht="12.75">
      <c r="A345" s="411"/>
      <c r="D345" s="352"/>
      <c r="G345" s="192"/>
      <c r="I345" s="411"/>
      <c r="J345" s="86"/>
      <c r="L345" s="86"/>
      <c r="N345" s="109"/>
    </row>
    <row r="346" spans="1:14" s="5" customFormat="1" ht="12.75">
      <c r="A346" s="411"/>
      <c r="D346" s="352"/>
      <c r="G346" s="192"/>
      <c r="I346" s="411"/>
      <c r="J346" s="86"/>
      <c r="L346" s="86"/>
      <c r="N346" s="109"/>
    </row>
    <row r="347" spans="1:14" s="5" customFormat="1" ht="12.75">
      <c r="A347" s="411"/>
      <c r="C347" s="5" t="s">
        <v>653</v>
      </c>
      <c r="D347" s="352">
        <v>1411</v>
      </c>
      <c r="F347" s="41"/>
      <c r="G347" s="192">
        <v>1442</v>
      </c>
      <c r="I347" s="418"/>
      <c r="J347" s="86"/>
      <c r="L347" s="86"/>
      <c r="N347" s="109"/>
    </row>
    <row r="348" spans="1:14" s="5" customFormat="1" ht="12.75">
      <c r="A348" s="411"/>
      <c r="D348" s="352"/>
      <c r="G348" s="192"/>
      <c r="I348" s="411"/>
      <c r="J348" s="86"/>
      <c r="L348" s="86"/>
      <c r="N348" s="109"/>
    </row>
    <row r="349" spans="1:14" s="5" customFormat="1" ht="12.75">
      <c r="A349" s="411"/>
      <c r="D349" s="352"/>
      <c r="G349" s="192"/>
      <c r="I349" s="411"/>
      <c r="J349" s="86"/>
      <c r="L349" s="86"/>
      <c r="N349" s="109"/>
    </row>
    <row r="350" spans="1:14" s="5" customFormat="1" ht="12.75">
      <c r="A350" s="411"/>
      <c r="C350" s="4" t="s">
        <v>191</v>
      </c>
      <c r="D350" s="352">
        <v>2849</v>
      </c>
      <c r="E350" s="353">
        <v>325.9</v>
      </c>
      <c r="F350" s="202">
        <v>8.741945382019026</v>
      </c>
      <c r="G350" s="192">
        <v>2897</v>
      </c>
      <c r="H350" s="353">
        <v>335.0779670858772</v>
      </c>
      <c r="I350" s="420">
        <v>8.645749003417844</v>
      </c>
      <c r="J350" s="86"/>
      <c r="L350" s="86"/>
      <c r="N350" s="109"/>
    </row>
    <row r="351" spans="1:15" s="5" customFormat="1" ht="12.75">
      <c r="A351" s="411"/>
      <c r="E351" s="93"/>
      <c r="I351" s="411"/>
      <c r="J351" s="411"/>
      <c r="K351" s="86"/>
      <c r="M351" s="86"/>
      <c r="O351" s="109"/>
    </row>
    <row r="352" spans="1:15" s="5" customFormat="1" ht="12.75">
      <c r="A352" s="411"/>
      <c r="I352" s="411"/>
      <c r="J352" s="411"/>
      <c r="K352" s="86"/>
      <c r="M352" s="86"/>
      <c r="O352" s="109"/>
    </row>
    <row r="353" spans="1:15" s="5" customFormat="1" ht="0.75" customHeight="1">
      <c r="A353" s="411"/>
      <c r="I353" s="411"/>
      <c r="J353" s="411"/>
      <c r="K353" s="86"/>
      <c r="M353" s="86"/>
      <c r="O353" s="109"/>
    </row>
    <row r="354" spans="1:15" s="5" customFormat="1" ht="12.75">
      <c r="A354" s="411"/>
      <c r="I354" s="411"/>
      <c r="J354" s="411"/>
      <c r="K354" s="86"/>
      <c r="M354" s="86"/>
      <c r="O354" s="109"/>
    </row>
    <row r="355" spans="1:14" s="5" customFormat="1" ht="12.75">
      <c r="A355" s="411"/>
      <c r="B355" s="4" t="s">
        <v>192</v>
      </c>
      <c r="I355" s="411"/>
      <c r="J355" s="86"/>
      <c r="L355" s="86"/>
      <c r="N355" s="109"/>
    </row>
    <row r="356" spans="1:14" s="5" customFormat="1" ht="12.75">
      <c r="A356" s="411"/>
      <c r="B356" s="4" t="s">
        <v>193</v>
      </c>
      <c r="I356" s="411"/>
      <c r="J356" s="86"/>
      <c r="L356" s="86"/>
      <c r="N356" s="109"/>
    </row>
    <row r="357" spans="1:15" s="5" customFormat="1" ht="12.75">
      <c r="A357" s="411"/>
      <c r="I357" s="411"/>
      <c r="J357" s="411"/>
      <c r="K357" s="86"/>
      <c r="M357" s="86"/>
      <c r="O357" s="109"/>
    </row>
    <row r="358" spans="1:15" s="5" customFormat="1" ht="12.75">
      <c r="A358" s="411"/>
      <c r="B358" s="36"/>
      <c r="D358" s="36"/>
      <c r="E358" s="36"/>
      <c r="I358" s="411"/>
      <c r="J358" s="411"/>
      <c r="K358" s="86"/>
      <c r="M358" s="86"/>
      <c r="O358" s="109"/>
    </row>
    <row r="359" spans="1:14" s="5" customFormat="1" ht="12.75">
      <c r="A359" s="411"/>
      <c r="B359" s="36" t="s">
        <v>654</v>
      </c>
      <c r="D359" s="36"/>
      <c r="H359" s="411"/>
      <c r="I359" s="411"/>
      <c r="J359" s="86"/>
      <c r="L359" s="86"/>
      <c r="N359" s="109"/>
    </row>
    <row r="360" spans="1:14" s="5" customFormat="1" ht="12.75">
      <c r="A360" s="411"/>
      <c r="B360" s="36" t="s">
        <v>655</v>
      </c>
      <c r="D360" s="36"/>
      <c r="H360" s="411"/>
      <c r="I360" s="411"/>
      <c r="J360" s="86"/>
      <c r="L360" s="86"/>
      <c r="N360" s="109"/>
    </row>
    <row r="361" spans="1:14" s="5" customFormat="1" ht="12.75">
      <c r="A361" s="411"/>
      <c r="B361" s="5" t="s">
        <v>656</v>
      </c>
      <c r="H361" s="411"/>
      <c r="I361" s="411"/>
      <c r="J361" s="86"/>
      <c r="L361" s="86"/>
      <c r="N361" s="109"/>
    </row>
    <row r="362" spans="1:15" s="5" customFormat="1" ht="12">
      <c r="A362" s="41"/>
      <c r="H362" s="86"/>
      <c r="J362" s="86"/>
      <c r="K362" s="86"/>
      <c r="M362" s="86"/>
      <c r="O362" s="109"/>
    </row>
    <row r="363" spans="1:15" s="5" customFormat="1" ht="12">
      <c r="A363" s="41"/>
      <c r="H363" s="86"/>
      <c r="J363" s="86"/>
      <c r="K363" s="86"/>
      <c r="M363" s="86"/>
      <c r="O363" s="109"/>
    </row>
    <row r="364" spans="1:15" s="5" customFormat="1" ht="9" customHeight="1">
      <c r="A364" s="41"/>
      <c r="H364" s="86"/>
      <c r="J364" s="86"/>
      <c r="K364" s="86"/>
      <c r="M364" s="86"/>
      <c r="O364" s="109"/>
    </row>
    <row r="365" spans="1:15" s="5" customFormat="1" ht="2.25" customHeight="1" hidden="1">
      <c r="A365" s="41"/>
      <c r="H365" s="86"/>
      <c r="J365" s="86"/>
      <c r="K365" s="86"/>
      <c r="M365" s="86"/>
      <c r="O365" s="109"/>
    </row>
    <row r="366" spans="1:15" s="5" customFormat="1" ht="12" hidden="1">
      <c r="A366" s="41"/>
      <c r="H366" s="86"/>
      <c r="J366" s="86"/>
      <c r="K366" s="86"/>
      <c r="M366" s="86"/>
      <c r="O366" s="109"/>
    </row>
    <row r="367" spans="1:15" s="5" customFormat="1" ht="12">
      <c r="A367" s="41"/>
      <c r="H367" s="86"/>
      <c r="J367" s="86"/>
      <c r="K367" s="86"/>
      <c r="M367" s="86"/>
      <c r="O367" s="109"/>
    </row>
    <row r="368" spans="1:15" s="5" customFormat="1" ht="12">
      <c r="A368" s="41"/>
      <c r="H368" s="86"/>
      <c r="J368" s="86"/>
      <c r="K368" s="86"/>
      <c r="M368" s="86"/>
      <c r="O368" s="109"/>
    </row>
    <row r="369" spans="1:15" s="5" customFormat="1" ht="12">
      <c r="A369" s="41"/>
      <c r="H369" s="86"/>
      <c r="J369" s="86"/>
      <c r="K369" s="86"/>
      <c r="M369" s="86"/>
      <c r="O369" s="109"/>
    </row>
    <row r="370" spans="1:15" s="5" customFormat="1" ht="9" customHeight="1">
      <c r="A370" s="4"/>
      <c r="H370" s="86"/>
      <c r="J370" s="86"/>
      <c r="K370" s="86"/>
      <c r="M370" s="86"/>
      <c r="O370" s="109"/>
    </row>
    <row r="371" spans="1:15" s="5" customFormat="1" ht="11.25" customHeight="1">
      <c r="A371" s="68" t="str">
        <f>+A82</f>
        <v>Institution No.:  GFE </v>
      </c>
      <c r="E371" s="38"/>
      <c r="G371" s="71"/>
      <c r="H371" s="86"/>
      <c r="I371" s="71"/>
      <c r="J371" s="189"/>
      <c r="K371" s="189"/>
      <c r="L371" s="71"/>
      <c r="M371" s="189" t="s">
        <v>60</v>
      </c>
      <c r="O371" s="109"/>
    </row>
    <row r="372" spans="5:15" s="5" customFormat="1" ht="11.25" customHeight="1">
      <c r="E372" s="38" t="s">
        <v>503</v>
      </c>
      <c r="G372" s="71"/>
      <c r="H372" s="86"/>
      <c r="I372" s="71"/>
      <c r="J372" s="86"/>
      <c r="K372" s="86"/>
      <c r="L372" s="71"/>
      <c r="M372" s="86"/>
      <c r="O372" s="109"/>
    </row>
    <row r="373" spans="1:15" s="5" customFormat="1" ht="11.25" customHeight="1">
      <c r="A373" s="68" t="str">
        <f>+A84</f>
        <v>NAME:  University of Colorado - HSC</v>
      </c>
      <c r="F373" s="7"/>
      <c r="G373" s="106"/>
      <c r="H373" s="219"/>
      <c r="I373" s="71"/>
      <c r="J373" s="190"/>
      <c r="K373" s="190"/>
      <c r="L373" s="71"/>
      <c r="M373" s="228" t="str">
        <f>+M84</f>
        <v>Date:  10-07</v>
      </c>
      <c r="O373" s="109"/>
    </row>
    <row r="374" spans="1:15" s="5" customFormat="1" ht="11.25" customHeight="1">
      <c r="A374" s="15" t="s">
        <v>1</v>
      </c>
      <c r="B374" s="15" t="s">
        <v>1</v>
      </c>
      <c r="C374" s="15" t="s">
        <v>1</v>
      </c>
      <c r="D374" s="15" t="s">
        <v>1</v>
      </c>
      <c r="E374" s="15" t="s">
        <v>1</v>
      </c>
      <c r="F374" s="15" t="s">
        <v>1</v>
      </c>
      <c r="G374" s="15" t="s">
        <v>1</v>
      </c>
      <c r="H374" s="15" t="s">
        <v>1</v>
      </c>
      <c r="I374" s="15" t="s">
        <v>1</v>
      </c>
      <c r="J374" s="15" t="s">
        <v>1</v>
      </c>
      <c r="K374" s="15"/>
      <c r="L374" s="15" t="s">
        <v>1</v>
      </c>
      <c r="M374" s="15" t="s">
        <v>1</v>
      </c>
      <c r="O374" s="109"/>
    </row>
    <row r="375" spans="1:15" s="5" customFormat="1" ht="11.25" customHeight="1">
      <c r="A375" s="73" t="s">
        <v>2</v>
      </c>
      <c r="E375" s="73" t="s">
        <v>2</v>
      </c>
      <c r="G375" s="175"/>
      <c r="H375" s="123" t="str">
        <f>H86</f>
        <v>2005-06</v>
      </c>
      <c r="I375" s="175"/>
      <c r="J375" s="123" t="str">
        <f>J86</f>
        <v>2006-07</v>
      </c>
      <c r="K375" s="123"/>
      <c r="L375" s="175"/>
      <c r="M375" s="123" t="str">
        <f>M86</f>
        <v>2007-08</v>
      </c>
      <c r="O375" s="109"/>
    </row>
    <row r="376" spans="1:15" s="5" customFormat="1" ht="11.25" customHeight="1">
      <c r="A376" s="73" t="s">
        <v>4</v>
      </c>
      <c r="C376" s="74" t="s">
        <v>20</v>
      </c>
      <c r="E376" s="73" t="s">
        <v>4</v>
      </c>
      <c r="G376" s="175" t="s">
        <v>6</v>
      </c>
      <c r="H376" s="123" t="s">
        <v>7</v>
      </c>
      <c r="I376" s="178" t="s">
        <v>6</v>
      </c>
      <c r="J376" s="123" t="s">
        <v>7</v>
      </c>
      <c r="K376" s="123"/>
      <c r="L376" s="178" t="s">
        <v>6</v>
      </c>
      <c r="M376" s="123" t="s">
        <v>8</v>
      </c>
      <c r="O376" s="109"/>
    </row>
    <row r="377" spans="1:15" s="5" customFormat="1" ht="11.25" customHeight="1">
      <c r="A377" s="15" t="s">
        <v>1</v>
      </c>
      <c r="B377" s="15" t="s">
        <v>1</v>
      </c>
      <c r="C377" s="15" t="s">
        <v>1</v>
      </c>
      <c r="D377" s="15" t="s">
        <v>1</v>
      </c>
      <c r="E377" s="15" t="s">
        <v>1</v>
      </c>
      <c r="F377" s="15" t="s">
        <v>1</v>
      </c>
      <c r="G377" s="15" t="s">
        <v>1</v>
      </c>
      <c r="H377" s="15" t="s">
        <v>1</v>
      </c>
      <c r="I377" s="15" t="s">
        <v>1</v>
      </c>
      <c r="J377" s="176" t="s">
        <v>1</v>
      </c>
      <c r="K377" s="176"/>
      <c r="L377" s="15" t="s">
        <v>1</v>
      </c>
      <c r="M377" s="176" t="s">
        <v>1</v>
      </c>
      <c r="O377" s="109"/>
    </row>
    <row r="378" spans="1:15" s="5" customFormat="1" ht="11.25" customHeight="1">
      <c r="A378" s="41">
        <v>1</v>
      </c>
      <c r="C378" s="4" t="s">
        <v>61</v>
      </c>
      <c r="E378" s="38">
        <v>1</v>
      </c>
      <c r="G378" s="89"/>
      <c r="H378" s="86"/>
      <c r="I378" s="89"/>
      <c r="J378" s="86"/>
      <c r="K378" s="86"/>
      <c r="L378" s="89"/>
      <c r="M378" s="86"/>
      <c r="O378" s="109"/>
    </row>
    <row r="379" spans="1:15" s="5" customFormat="1" ht="11.25" customHeight="1">
      <c r="A379" s="41">
        <f aca="true" t="shared" si="8" ref="A379:A400">(A378+1)</f>
        <v>2</v>
      </c>
      <c r="C379" s="4" t="s">
        <v>62</v>
      </c>
      <c r="D379" s="4" t="s">
        <v>63</v>
      </c>
      <c r="E379" s="38">
        <v>2</v>
      </c>
      <c r="F379" s="27"/>
      <c r="G379" s="180"/>
      <c r="H379" s="109">
        <f>3932290-612670-56820</f>
        <v>3262800</v>
      </c>
      <c r="I379" s="180"/>
      <c r="J379" s="179">
        <v>4486441</v>
      </c>
      <c r="K379" s="179"/>
      <c r="L379" s="180"/>
      <c r="M379" s="179">
        <v>4371284</v>
      </c>
      <c r="O379" s="109"/>
    </row>
    <row r="380" spans="1:16" s="5" customFormat="1" ht="11.25" customHeight="1">
      <c r="A380" s="41">
        <f t="shared" si="8"/>
        <v>3</v>
      </c>
      <c r="D380" s="4" t="s">
        <v>64</v>
      </c>
      <c r="E380" s="38">
        <v>3</v>
      </c>
      <c r="F380" s="27"/>
      <c r="G380" s="180"/>
      <c r="H380" s="109">
        <v>409134</v>
      </c>
      <c r="I380" s="180"/>
      <c r="J380" s="179">
        <v>480059</v>
      </c>
      <c r="K380" s="179"/>
      <c r="L380" s="180"/>
      <c r="M380" s="179">
        <v>580242</v>
      </c>
      <c r="O380" s="109"/>
      <c r="P380" s="113"/>
    </row>
    <row r="381" spans="1:15" s="5" customFormat="1" ht="11.25" customHeight="1">
      <c r="A381" s="41">
        <f t="shared" si="8"/>
        <v>4</v>
      </c>
      <c r="C381" s="4" t="s">
        <v>65</v>
      </c>
      <c r="D381" s="4" t="s">
        <v>63</v>
      </c>
      <c r="E381" s="38">
        <v>4</v>
      </c>
      <c r="F381" s="27"/>
      <c r="G381" s="180"/>
      <c r="H381" s="109">
        <v>895825</v>
      </c>
      <c r="I381" s="180"/>
      <c r="J381" s="179">
        <v>1101037</v>
      </c>
      <c r="K381" s="179"/>
      <c r="L381" s="180"/>
      <c r="M381" s="179">
        <v>1038802</v>
      </c>
      <c r="O381" s="109"/>
    </row>
    <row r="382" spans="1:15" s="5" customFormat="1" ht="11.25" customHeight="1">
      <c r="A382" s="41">
        <f t="shared" si="8"/>
        <v>5</v>
      </c>
      <c r="D382" s="4" t="s">
        <v>64</v>
      </c>
      <c r="E382" s="38">
        <v>5</v>
      </c>
      <c r="F382" s="27"/>
      <c r="G382" s="180"/>
      <c r="H382" s="109">
        <v>92637</v>
      </c>
      <c r="I382" s="180"/>
      <c r="J382" s="179">
        <v>91835</v>
      </c>
      <c r="K382" s="179"/>
      <c r="L382" s="180"/>
      <c r="M382" s="179">
        <v>77145</v>
      </c>
      <c r="O382" s="109"/>
    </row>
    <row r="383" spans="1:15" s="5" customFormat="1" ht="11.25" customHeight="1">
      <c r="A383" s="41">
        <f t="shared" si="8"/>
        <v>6</v>
      </c>
      <c r="C383" s="4" t="s">
        <v>66</v>
      </c>
      <c r="E383" s="38">
        <v>6</v>
      </c>
      <c r="G383" s="89"/>
      <c r="H383" s="86">
        <f>SUM(H379:H382)</f>
        <v>4660396</v>
      </c>
      <c r="I383" s="89"/>
      <c r="J383" s="86">
        <f>SUM(J379:J382)</f>
        <v>6159372</v>
      </c>
      <c r="K383" s="86"/>
      <c r="L383" s="89"/>
      <c r="M383" s="86">
        <f>SUM(M379:M382)</f>
        <v>6067473</v>
      </c>
      <c r="O383" s="109"/>
    </row>
    <row r="384" spans="1:15" s="5" customFormat="1" ht="11.25" customHeight="1">
      <c r="A384" s="41">
        <f t="shared" si="8"/>
        <v>7</v>
      </c>
      <c r="C384" s="4" t="s">
        <v>67</v>
      </c>
      <c r="E384" s="38">
        <v>7</v>
      </c>
      <c r="G384" s="89"/>
      <c r="H384" s="86"/>
      <c r="I384" s="89"/>
      <c r="J384" s="86"/>
      <c r="K384" s="86"/>
      <c r="L384" s="89"/>
      <c r="M384" s="86"/>
      <c r="O384" s="109"/>
    </row>
    <row r="385" spans="1:15" s="5" customFormat="1" ht="11.25" customHeight="1">
      <c r="A385" s="41">
        <f t="shared" si="8"/>
        <v>8</v>
      </c>
      <c r="C385" s="4" t="s">
        <v>62</v>
      </c>
      <c r="D385" s="4" t="s">
        <v>63</v>
      </c>
      <c r="E385" s="38">
        <v>8</v>
      </c>
      <c r="F385" s="27"/>
      <c r="G385" s="180"/>
      <c r="H385" s="228">
        <f>9310135-25158</f>
        <v>9284977</v>
      </c>
      <c r="I385" s="180"/>
      <c r="J385" s="228">
        <v>10258659</v>
      </c>
      <c r="K385" s="228"/>
      <c r="L385" s="180"/>
      <c r="M385" s="228">
        <v>10504037</v>
      </c>
      <c r="O385" s="109"/>
    </row>
    <row r="386" spans="1:16" s="5" customFormat="1" ht="11.25" customHeight="1">
      <c r="A386" s="41">
        <f t="shared" si="8"/>
        <v>9</v>
      </c>
      <c r="D386" s="4" t="s">
        <v>64</v>
      </c>
      <c r="E386" s="38">
        <v>9</v>
      </c>
      <c r="F386" s="27"/>
      <c r="G386" s="180"/>
      <c r="H386" s="179">
        <f>2079545-24855</f>
        <v>2054690</v>
      </c>
      <c r="I386" s="180"/>
      <c r="J386" s="228">
        <v>2707387</v>
      </c>
      <c r="K386" s="228"/>
      <c r="L386" s="180"/>
      <c r="M386" s="228">
        <v>2859370</v>
      </c>
      <c r="O386" s="109"/>
      <c r="P386" s="113"/>
    </row>
    <row r="387" spans="1:16" s="5" customFormat="1" ht="11.25" customHeight="1">
      <c r="A387" s="41">
        <f t="shared" si="8"/>
        <v>10</v>
      </c>
      <c r="C387" s="4" t="s">
        <v>65</v>
      </c>
      <c r="D387" s="4" t="s">
        <v>63</v>
      </c>
      <c r="E387" s="38">
        <v>10</v>
      </c>
      <c r="F387" s="27"/>
      <c r="G387" s="180"/>
      <c r="H387" s="109">
        <f>2191987+875886-42964</f>
        <v>3024909</v>
      </c>
      <c r="I387" s="180"/>
      <c r="J387" s="179">
        <v>2555693</v>
      </c>
      <c r="K387" s="179"/>
      <c r="L387" s="180"/>
      <c r="M387" s="179">
        <v>2514692</v>
      </c>
      <c r="O387" s="109"/>
      <c r="P387" s="113"/>
    </row>
    <row r="388" spans="1:15" s="5" customFormat="1" ht="11.25" customHeight="1">
      <c r="A388" s="41">
        <f t="shared" si="8"/>
        <v>11</v>
      </c>
      <c r="D388" s="4" t="s">
        <v>64</v>
      </c>
      <c r="E388" s="38">
        <v>11</v>
      </c>
      <c r="F388" s="27"/>
      <c r="G388" s="180"/>
      <c r="H388" s="179">
        <v>476451</v>
      </c>
      <c r="I388" s="180"/>
      <c r="J388" s="179">
        <v>653646</v>
      </c>
      <c r="K388" s="179"/>
      <c r="L388" s="180"/>
      <c r="M388" s="179">
        <v>630147</v>
      </c>
      <c r="O388" s="109"/>
    </row>
    <row r="389" spans="1:15" s="5" customFormat="1" ht="11.25" customHeight="1">
      <c r="A389" s="41">
        <f t="shared" si="8"/>
        <v>12</v>
      </c>
      <c r="C389" s="4" t="s">
        <v>68</v>
      </c>
      <c r="E389" s="38">
        <v>12</v>
      </c>
      <c r="G389" s="89"/>
      <c r="H389" s="86">
        <f>SUM(H385:H388)</f>
        <v>14841027</v>
      </c>
      <c r="I389" s="89"/>
      <c r="J389" s="86">
        <f>SUM(J385:J388)</f>
        <v>16175385</v>
      </c>
      <c r="K389" s="86"/>
      <c r="L389" s="89"/>
      <c r="M389" s="86">
        <f>SUM(M385:M388)</f>
        <v>16508246</v>
      </c>
      <c r="O389" s="109"/>
    </row>
    <row r="390" spans="1:15" s="5" customFormat="1" ht="11.25" customHeight="1">
      <c r="A390" s="41">
        <f t="shared" si="8"/>
        <v>13</v>
      </c>
      <c r="C390" s="4" t="s">
        <v>69</v>
      </c>
      <c r="E390" s="38">
        <v>13</v>
      </c>
      <c r="G390" s="89"/>
      <c r="H390" s="86"/>
      <c r="I390" s="89"/>
      <c r="J390" s="86"/>
      <c r="K390" s="86"/>
      <c r="L390" s="89"/>
      <c r="M390" s="86"/>
      <c r="O390" s="109"/>
    </row>
    <row r="391" spans="1:15" s="5" customFormat="1" ht="11.25" customHeight="1">
      <c r="A391" s="41">
        <f t="shared" si="8"/>
        <v>14</v>
      </c>
      <c r="C391" s="4" t="s">
        <v>62</v>
      </c>
      <c r="D391" s="4" t="s">
        <v>63</v>
      </c>
      <c r="E391" s="38">
        <v>14</v>
      </c>
      <c r="F391" s="27"/>
      <c r="G391" s="180"/>
      <c r="H391" s="179">
        <v>376</v>
      </c>
      <c r="I391" s="180"/>
      <c r="J391" s="240">
        <v>0</v>
      </c>
      <c r="K391" s="240"/>
      <c r="L391" s="180"/>
      <c r="M391" s="240">
        <v>0</v>
      </c>
      <c r="O391" s="109"/>
    </row>
    <row r="392" spans="1:15" s="5" customFormat="1" ht="11.25" customHeight="1">
      <c r="A392" s="41">
        <f t="shared" si="8"/>
        <v>15</v>
      </c>
      <c r="D392" s="4" t="s">
        <v>64</v>
      </c>
      <c r="E392" s="38">
        <v>15</v>
      </c>
      <c r="F392" s="27"/>
      <c r="G392" s="180"/>
      <c r="H392" s="241"/>
      <c r="I392" s="180"/>
      <c r="J392" s="240">
        <v>0</v>
      </c>
      <c r="K392" s="240"/>
      <c r="L392" s="180"/>
      <c r="M392" s="240">
        <v>0</v>
      </c>
      <c r="O392" s="109"/>
    </row>
    <row r="393" spans="1:15" s="5" customFormat="1" ht="11.25" customHeight="1">
      <c r="A393" s="41">
        <f t="shared" si="8"/>
        <v>16</v>
      </c>
      <c r="C393" s="4" t="s">
        <v>65</v>
      </c>
      <c r="D393" s="4" t="s">
        <v>63</v>
      </c>
      <c r="E393" s="38">
        <v>16</v>
      </c>
      <c r="F393" s="27"/>
      <c r="G393" s="180"/>
      <c r="H393" s="179">
        <v>1380</v>
      </c>
      <c r="I393" s="180"/>
      <c r="J393" s="240">
        <v>0</v>
      </c>
      <c r="K393" s="240"/>
      <c r="L393" s="180"/>
      <c r="M393" s="240">
        <v>0</v>
      </c>
      <c r="O393" s="109"/>
    </row>
    <row r="394" spans="1:15" s="5" customFormat="1" ht="11.25" customHeight="1">
      <c r="A394" s="41">
        <f t="shared" si="8"/>
        <v>17</v>
      </c>
      <c r="D394" s="4" t="s">
        <v>64</v>
      </c>
      <c r="E394" s="38">
        <v>17</v>
      </c>
      <c r="F394" s="27"/>
      <c r="G394" s="180"/>
      <c r="H394" s="241"/>
      <c r="I394" s="180"/>
      <c r="J394" s="240">
        <v>0</v>
      </c>
      <c r="K394" s="240"/>
      <c r="L394" s="180"/>
      <c r="M394" s="240">
        <v>0</v>
      </c>
      <c r="O394" s="109"/>
    </row>
    <row r="395" spans="1:15" s="5" customFormat="1" ht="11.25" customHeight="1">
      <c r="A395" s="41">
        <f t="shared" si="8"/>
        <v>18</v>
      </c>
      <c r="C395" s="4" t="s">
        <v>70</v>
      </c>
      <c r="E395" s="38">
        <v>18</v>
      </c>
      <c r="G395" s="89"/>
      <c r="H395" s="179">
        <f>SUM(H391:H394)</f>
        <v>1756</v>
      </c>
      <c r="I395" s="89"/>
      <c r="J395" s="186">
        <f>SUM(J391:J394)</f>
        <v>0</v>
      </c>
      <c r="K395" s="186"/>
      <c r="L395" s="89"/>
      <c r="M395" s="186">
        <v>0</v>
      </c>
      <c r="O395" s="109"/>
    </row>
    <row r="396" spans="1:15" s="5" customFormat="1" ht="11.25" customHeight="1">
      <c r="A396" s="41">
        <f t="shared" si="8"/>
        <v>19</v>
      </c>
      <c r="C396" s="4" t="s">
        <v>71</v>
      </c>
      <c r="E396" s="41">
        <f>(E395+1)</f>
        <v>19</v>
      </c>
      <c r="H396" s="27"/>
      <c r="O396" s="109"/>
    </row>
    <row r="397" spans="1:15" s="5" customFormat="1" ht="11.25" customHeight="1">
      <c r="A397" s="41">
        <f t="shared" si="8"/>
        <v>20</v>
      </c>
      <c r="C397" s="4" t="s">
        <v>62</v>
      </c>
      <c r="D397" s="4" t="s">
        <v>63</v>
      </c>
      <c r="E397" s="41">
        <f>(E396+1)</f>
        <v>20</v>
      </c>
      <c r="F397" s="179"/>
      <c r="G397" s="179"/>
      <c r="H397" s="179">
        <f>9285217</f>
        <v>9285217</v>
      </c>
      <c r="I397" s="179"/>
      <c r="J397" s="179">
        <v>10114178</v>
      </c>
      <c r="K397" s="179"/>
      <c r="L397" s="179"/>
      <c r="M397" s="179">
        <v>10513417</v>
      </c>
      <c r="O397" s="109"/>
    </row>
    <row r="398" spans="1:15" s="5" customFormat="1" ht="11.25" customHeight="1">
      <c r="A398" s="41">
        <f t="shared" si="8"/>
        <v>21</v>
      </c>
      <c r="D398" s="4" t="s">
        <v>64</v>
      </c>
      <c r="E398" s="41">
        <f>(E397+1)</f>
        <v>21</v>
      </c>
      <c r="F398" s="179"/>
      <c r="G398" s="179"/>
      <c r="H398" s="179">
        <v>2179395</v>
      </c>
      <c r="I398" s="179"/>
      <c r="J398" s="179">
        <v>2813945</v>
      </c>
      <c r="K398" s="179"/>
      <c r="L398" s="179"/>
      <c r="M398" s="179">
        <v>3129385</v>
      </c>
      <c r="O398" s="109"/>
    </row>
    <row r="399" spans="1:16" s="5" customFormat="1" ht="11.25" customHeight="1">
      <c r="A399" s="41">
        <f t="shared" si="8"/>
        <v>22</v>
      </c>
      <c r="C399" s="4" t="s">
        <v>65</v>
      </c>
      <c r="D399" s="4" t="s">
        <v>63</v>
      </c>
      <c r="E399" s="41">
        <f>(E398+1)</f>
        <v>22</v>
      </c>
      <c r="F399" s="179"/>
      <c r="G399" s="179"/>
      <c r="H399" s="109">
        <v>2722065</v>
      </c>
      <c r="I399" s="29"/>
      <c r="J399" s="29">
        <v>2478883</v>
      </c>
      <c r="K399" s="29"/>
      <c r="L399" s="29"/>
      <c r="M399" s="29">
        <v>2527066</v>
      </c>
      <c r="N399" s="109"/>
      <c r="O399" s="109"/>
      <c r="P399" s="113"/>
    </row>
    <row r="400" spans="1:15" s="5" customFormat="1" ht="11.25" customHeight="1">
      <c r="A400" s="41">
        <f t="shared" si="8"/>
        <v>23</v>
      </c>
      <c r="D400" s="4" t="s">
        <v>64</v>
      </c>
      <c r="E400" s="41">
        <f>(E399+1)</f>
        <v>23</v>
      </c>
      <c r="F400" s="179"/>
      <c r="G400" s="179"/>
      <c r="H400" s="179">
        <f>612530-118422</f>
        <v>494108</v>
      </c>
      <c r="I400" s="179"/>
      <c r="J400" s="179">
        <v>680844</v>
      </c>
      <c r="K400" s="179"/>
      <c r="L400" s="179"/>
      <c r="M400" s="179">
        <v>635009</v>
      </c>
      <c r="O400" s="109"/>
    </row>
    <row r="401" spans="1:15" s="5" customFormat="1" ht="11.25" customHeight="1">
      <c r="A401" s="41">
        <v>24</v>
      </c>
      <c r="C401" s="4" t="s">
        <v>72</v>
      </c>
      <c r="E401" s="41">
        <v>24</v>
      </c>
      <c r="F401" s="86"/>
      <c r="G401" s="86"/>
      <c r="H401" s="179">
        <f>SUM(H397:H400)</f>
        <v>14680785</v>
      </c>
      <c r="I401" s="86"/>
      <c r="J401" s="86">
        <f>SUM(J397:J400)</f>
        <v>16087850</v>
      </c>
      <c r="K401" s="86"/>
      <c r="L401" s="86"/>
      <c r="M401" s="86">
        <f>SUM(M397:M400)</f>
        <v>16804877</v>
      </c>
      <c r="O401" s="109"/>
    </row>
    <row r="402" spans="1:15" s="5" customFormat="1" ht="11.25" customHeight="1">
      <c r="A402" s="41">
        <v>25</v>
      </c>
      <c r="C402" s="4" t="s">
        <v>73</v>
      </c>
      <c r="E402" s="41">
        <v>25</v>
      </c>
      <c r="H402" s="27"/>
      <c r="O402" s="109"/>
    </row>
    <row r="403" spans="1:15" s="5" customFormat="1" ht="11.25" customHeight="1">
      <c r="A403" s="41">
        <v>26</v>
      </c>
      <c r="C403" s="4" t="s">
        <v>62</v>
      </c>
      <c r="D403" s="4" t="s">
        <v>63</v>
      </c>
      <c r="E403" s="41">
        <v>26</v>
      </c>
      <c r="G403" s="89"/>
      <c r="H403" s="86">
        <f>H397+H391+H385+H379</f>
        <v>21833370</v>
      </c>
      <c r="I403" s="89"/>
      <c r="J403" s="86">
        <f>J397+J391+J385+J379</f>
        <v>24859278</v>
      </c>
      <c r="K403" s="86"/>
      <c r="L403" s="89"/>
      <c r="M403" s="86">
        <f>SUM(M379,M385,M391,M397)</f>
        <v>25388738</v>
      </c>
      <c r="O403" s="109"/>
    </row>
    <row r="404" spans="1:15" s="5" customFormat="1" ht="11.25" customHeight="1">
      <c r="A404" s="41">
        <v>27</v>
      </c>
      <c r="D404" s="4" t="s">
        <v>64</v>
      </c>
      <c r="E404" s="41">
        <v>27</v>
      </c>
      <c r="G404" s="89"/>
      <c r="H404" s="86">
        <f>H398+H392+H386+H380</f>
        <v>4643219</v>
      </c>
      <c r="I404" s="89"/>
      <c r="J404" s="86">
        <f>J398+J392+J386+J380</f>
        <v>6001391</v>
      </c>
      <c r="K404" s="86"/>
      <c r="L404" s="89"/>
      <c r="M404" s="86">
        <f>SUM(M380,M386,M392,M398)</f>
        <v>6568997</v>
      </c>
      <c r="O404" s="109"/>
    </row>
    <row r="405" spans="1:15" s="5" customFormat="1" ht="11.25" customHeight="1">
      <c r="A405" s="41">
        <v>28</v>
      </c>
      <c r="C405" s="4" t="s">
        <v>65</v>
      </c>
      <c r="D405" s="4" t="s">
        <v>63</v>
      </c>
      <c r="E405" s="41">
        <v>28</v>
      </c>
      <c r="G405" s="89"/>
      <c r="H405" s="86">
        <f>H399+H393+H387+H381</f>
        <v>6644179</v>
      </c>
      <c r="I405" s="89"/>
      <c r="J405" s="86">
        <f>J399+J393+J387+J381</f>
        <v>6135613</v>
      </c>
      <c r="K405" s="86"/>
      <c r="L405" s="89"/>
      <c r="M405" s="86">
        <f>SUM(M381,M387,M393,M399)</f>
        <v>6080560</v>
      </c>
      <c r="O405" s="109"/>
    </row>
    <row r="406" spans="1:15" s="5" customFormat="1" ht="11.25" customHeight="1">
      <c r="A406" s="41">
        <v>29</v>
      </c>
      <c r="D406" s="4" t="s">
        <v>64</v>
      </c>
      <c r="E406" s="41">
        <v>29</v>
      </c>
      <c r="G406" s="89"/>
      <c r="H406" s="86">
        <f>H400+H394+H388+H382</f>
        <v>1063196</v>
      </c>
      <c r="I406" s="89"/>
      <c r="J406" s="86">
        <f>J400+J394+J388+J382</f>
        <v>1426325</v>
      </c>
      <c r="K406" s="86"/>
      <c r="L406" s="89"/>
      <c r="M406" s="86">
        <f>SUM(M382,M388,M394,M400)</f>
        <v>1342301</v>
      </c>
      <c r="O406" s="109"/>
    </row>
    <row r="407" spans="1:15" s="5" customFormat="1" ht="11.25" customHeight="1">
      <c r="A407" s="41">
        <v>30</v>
      </c>
      <c r="E407" s="41">
        <v>30</v>
      </c>
      <c r="G407" s="89"/>
      <c r="H407" s="86"/>
      <c r="I407" s="89"/>
      <c r="J407" s="86"/>
      <c r="K407" s="86"/>
      <c r="L407" s="89"/>
      <c r="M407" s="86"/>
      <c r="O407" s="109"/>
    </row>
    <row r="408" spans="1:15" s="5" customFormat="1" ht="11.25" customHeight="1">
      <c r="A408" s="41">
        <v>31</v>
      </c>
      <c r="C408" s="4" t="s">
        <v>74</v>
      </c>
      <c r="E408" s="41">
        <v>31</v>
      </c>
      <c r="G408" s="17">
        <v>2546</v>
      </c>
      <c r="H408" s="86">
        <f>H403+H404</f>
        <v>26476589</v>
      </c>
      <c r="I408" s="17">
        <f>+J186</f>
        <v>2579</v>
      </c>
      <c r="J408" s="86">
        <f>J403+J404</f>
        <v>30860669</v>
      </c>
      <c r="K408" s="86"/>
      <c r="L408" s="17">
        <f>+M186</f>
        <v>2589</v>
      </c>
      <c r="M408" s="86">
        <f>M403+M404</f>
        <v>31957735</v>
      </c>
      <c r="O408" s="109"/>
    </row>
    <row r="409" spans="1:15" s="5" customFormat="1" ht="11.25" customHeight="1">
      <c r="A409" s="41">
        <v>32</v>
      </c>
      <c r="C409" s="4" t="s">
        <v>75</v>
      </c>
      <c r="E409" s="41">
        <v>32</v>
      </c>
      <c r="G409" s="17">
        <v>303</v>
      </c>
      <c r="H409" s="86">
        <f>H405+H406</f>
        <v>7707375</v>
      </c>
      <c r="I409" s="17">
        <f>+J190</f>
        <v>318</v>
      </c>
      <c r="J409" s="86">
        <f>J405+J406</f>
        <v>7561938</v>
      </c>
      <c r="K409" s="86"/>
      <c r="L409" s="17">
        <f>+M190</f>
        <v>331</v>
      </c>
      <c r="M409" s="86">
        <f>M405+M406</f>
        <v>7422861</v>
      </c>
      <c r="O409" s="109"/>
    </row>
    <row r="410" spans="1:15" s="5" customFormat="1" ht="11.25" customHeight="1">
      <c r="A410" s="41">
        <v>33</v>
      </c>
      <c r="C410" s="4" t="s">
        <v>76</v>
      </c>
      <c r="E410" s="41">
        <v>33</v>
      </c>
      <c r="F410" s="86"/>
      <c r="G410" s="25">
        <v>2427</v>
      </c>
      <c r="H410" s="86">
        <f>H403+H405</f>
        <v>28477549</v>
      </c>
      <c r="I410" s="25">
        <f>+J193</f>
        <v>2476</v>
      </c>
      <c r="J410" s="86">
        <f>J403+J405</f>
        <v>30994891</v>
      </c>
      <c r="K410" s="86"/>
      <c r="L410" s="25">
        <f>+M193</f>
        <v>2291</v>
      </c>
      <c r="M410" s="86">
        <f>M403+M405</f>
        <v>31469298</v>
      </c>
      <c r="O410" s="109"/>
    </row>
    <row r="411" spans="1:15" s="5" customFormat="1" ht="11.25" customHeight="1">
      <c r="A411" s="41">
        <v>34</v>
      </c>
      <c r="C411" s="4" t="s">
        <v>244</v>
      </c>
      <c r="E411" s="41">
        <v>34</v>
      </c>
      <c r="F411" s="86"/>
      <c r="G411" s="25">
        <v>422</v>
      </c>
      <c r="H411" s="86">
        <f>H404+H406</f>
        <v>5706415</v>
      </c>
      <c r="I411" s="25">
        <f>+J192</f>
        <v>421</v>
      </c>
      <c r="J411" s="86">
        <f>J404+J406</f>
        <v>7427716</v>
      </c>
      <c r="K411" s="86"/>
      <c r="L411" s="25">
        <f>+M192</f>
        <v>629</v>
      </c>
      <c r="M411" s="86">
        <f>M404+M406</f>
        <v>7911298</v>
      </c>
      <c r="O411" s="109"/>
    </row>
    <row r="412" spans="6:15" s="5" customFormat="1" ht="11.25" customHeight="1">
      <c r="F412" s="15" t="s">
        <v>1</v>
      </c>
      <c r="G412" s="24" t="s">
        <v>1</v>
      </c>
      <c r="H412" s="176" t="s">
        <v>1</v>
      </c>
      <c r="I412" s="24" t="s">
        <v>1</v>
      </c>
      <c r="J412" s="176" t="s">
        <v>1</v>
      </c>
      <c r="K412" s="176"/>
      <c r="L412" s="24" t="s">
        <v>1</v>
      </c>
      <c r="M412" s="176" t="s">
        <v>1</v>
      </c>
      <c r="O412" s="109"/>
    </row>
    <row r="413" spans="1:15" s="5" customFormat="1" ht="11.25" customHeight="1">
      <c r="A413" s="41">
        <v>35</v>
      </c>
      <c r="C413" s="5" t="s">
        <v>77</v>
      </c>
      <c r="E413" s="41">
        <v>35</v>
      </c>
      <c r="G413" s="86">
        <f>SUM(G410:G411)</f>
        <v>2849</v>
      </c>
      <c r="H413" s="86">
        <f>SUM(H403:H406)</f>
        <v>34183964</v>
      </c>
      <c r="I413" s="86">
        <f>SUM(I410:I411)</f>
        <v>2897</v>
      </c>
      <c r="J413" s="86">
        <f>SUM(J403:J406)</f>
        <v>38422607</v>
      </c>
      <c r="K413" s="86"/>
      <c r="L413" s="86">
        <f>SUM(L410:L411)</f>
        <v>2920</v>
      </c>
      <c r="M413" s="86">
        <f>SUM(M403:M406)</f>
        <v>39380596</v>
      </c>
      <c r="O413" s="109"/>
    </row>
    <row r="414" spans="3:15" s="5" customFormat="1" ht="11.25" customHeight="1">
      <c r="C414" s="4" t="s">
        <v>201</v>
      </c>
      <c r="F414" s="24" t="s">
        <v>1</v>
      </c>
      <c r="G414" s="24" t="s">
        <v>1</v>
      </c>
      <c r="H414" s="24" t="s">
        <v>1</v>
      </c>
      <c r="I414" s="24" t="s">
        <v>1</v>
      </c>
      <c r="J414" s="24" t="s">
        <v>1</v>
      </c>
      <c r="K414" s="24"/>
      <c r="L414" s="24" t="s">
        <v>1</v>
      </c>
      <c r="M414" s="24" t="s">
        <v>1</v>
      </c>
      <c r="O414" s="109"/>
    </row>
    <row r="415" spans="1:15" s="5" customFormat="1" ht="11.25" customHeight="1">
      <c r="A415" s="5">
        <v>36</v>
      </c>
      <c r="C415" s="5" t="s">
        <v>504</v>
      </c>
      <c r="F415" s="24"/>
      <c r="G415" s="24"/>
      <c r="H415" s="86">
        <v>3844427</v>
      </c>
      <c r="I415" s="24"/>
      <c r="J415" s="86">
        <f>4414266+378171</f>
        <v>4792437</v>
      </c>
      <c r="K415" s="86"/>
      <c r="L415" s="24"/>
      <c r="M415" s="86">
        <v>4970419</v>
      </c>
      <c r="O415" s="109"/>
    </row>
    <row r="416" spans="3:15" s="5" customFormat="1" ht="12">
      <c r="C416" s="5" t="s">
        <v>237</v>
      </c>
      <c r="F416" s="24"/>
      <c r="G416" s="24"/>
      <c r="H416" s="86"/>
      <c r="I416" s="24"/>
      <c r="J416" s="86"/>
      <c r="K416" s="86"/>
      <c r="L416" s="24"/>
      <c r="M416" s="86"/>
      <c r="O416" s="109"/>
    </row>
    <row r="417" spans="6:15" s="5" customFormat="1" ht="12">
      <c r="F417" s="24"/>
      <c r="G417" s="24"/>
      <c r="H417" s="86"/>
      <c r="I417" s="24"/>
      <c r="J417" s="86"/>
      <c r="K417" s="86"/>
      <c r="L417" s="24"/>
      <c r="M417" s="86"/>
      <c r="O417" s="109"/>
    </row>
    <row r="418" spans="6:15" s="5" customFormat="1" ht="12">
      <c r="F418" s="24"/>
      <c r="G418" s="24"/>
      <c r="H418" s="86"/>
      <c r="I418" s="24"/>
      <c r="J418" s="86"/>
      <c r="K418" s="86"/>
      <c r="L418" s="24"/>
      <c r="M418" s="86"/>
      <c r="O418" s="109"/>
    </row>
    <row r="419" spans="1:15" s="5" customFormat="1" ht="12">
      <c r="A419" s="4"/>
      <c r="O419" s="109"/>
    </row>
    <row r="420" spans="1:15" s="5" customFormat="1" ht="12">
      <c r="A420" s="4"/>
      <c r="O420" s="109"/>
    </row>
    <row r="421" spans="1:15" s="5" customFormat="1" ht="9.75" customHeight="1">
      <c r="A421" s="68" t="str">
        <f>+A82</f>
        <v>Institution No.:  GFE </v>
      </c>
      <c r="E421" s="38"/>
      <c r="G421" s="71"/>
      <c r="H421" s="86"/>
      <c r="I421" s="71"/>
      <c r="J421" s="224"/>
      <c r="K421" s="224"/>
      <c r="L421" s="71"/>
      <c r="M421" s="189" t="s">
        <v>78</v>
      </c>
      <c r="O421" s="109"/>
    </row>
    <row r="422" spans="4:15" s="5" customFormat="1" ht="9.75" customHeight="1">
      <c r="D422" s="71" t="s">
        <v>79</v>
      </c>
      <c r="E422" s="38"/>
      <c r="G422" s="71"/>
      <c r="H422" s="86"/>
      <c r="I422" s="71"/>
      <c r="J422" s="86"/>
      <c r="K422" s="86"/>
      <c r="L422" s="71"/>
      <c r="M422" s="86"/>
      <c r="O422" s="109"/>
    </row>
    <row r="423" spans="1:15" s="5" customFormat="1" ht="9.75" customHeight="1">
      <c r="A423" s="68" t="str">
        <f>+A84</f>
        <v>NAME:  University of Colorado - HSC</v>
      </c>
      <c r="F423" s="106"/>
      <c r="G423" s="106"/>
      <c r="H423" s="219"/>
      <c r="I423" s="71"/>
      <c r="J423" s="190"/>
      <c r="K423" s="190"/>
      <c r="L423" s="71"/>
      <c r="M423" s="228" t="str">
        <f>+M84</f>
        <v>Date:  10-07</v>
      </c>
      <c r="O423" s="109"/>
    </row>
    <row r="424" spans="1:15" s="5" customFormat="1" ht="9.75" customHeight="1">
      <c r="A424" s="15" t="s">
        <v>1</v>
      </c>
      <c r="B424" s="15" t="s">
        <v>1</v>
      </c>
      <c r="C424" s="15" t="s">
        <v>1</v>
      </c>
      <c r="D424" s="15" t="s">
        <v>1</v>
      </c>
      <c r="E424" s="15" t="s">
        <v>1</v>
      </c>
      <c r="F424" s="15" t="s">
        <v>1</v>
      </c>
      <c r="G424" s="15" t="s">
        <v>1</v>
      </c>
      <c r="H424" s="15" t="s">
        <v>1</v>
      </c>
      <c r="I424" s="15" t="s">
        <v>1</v>
      </c>
      <c r="J424" s="15" t="s">
        <v>1</v>
      </c>
      <c r="K424" s="15"/>
      <c r="L424" s="15" t="s">
        <v>1</v>
      </c>
      <c r="M424" s="15" t="s">
        <v>1</v>
      </c>
      <c r="O424" s="109"/>
    </row>
    <row r="425" spans="1:15" s="5" customFormat="1" ht="9.75" customHeight="1">
      <c r="A425" s="73" t="s">
        <v>2</v>
      </c>
      <c r="E425" s="73" t="s">
        <v>2</v>
      </c>
      <c r="G425" s="89"/>
      <c r="H425" s="123" t="str">
        <f>$H$86</f>
        <v>2005-06</v>
      </c>
      <c r="I425" s="89"/>
      <c r="J425" s="123" t="str">
        <f>$J$86</f>
        <v>2006-07</v>
      </c>
      <c r="K425" s="123"/>
      <c r="L425" s="89"/>
      <c r="M425" s="123" t="str">
        <f>$M$86</f>
        <v>2007-08</v>
      </c>
      <c r="O425" s="109"/>
    </row>
    <row r="426" spans="1:15" s="5" customFormat="1" ht="9.75" customHeight="1">
      <c r="A426" s="73" t="s">
        <v>4</v>
      </c>
      <c r="C426" s="74" t="s">
        <v>20</v>
      </c>
      <c r="E426" s="73" t="s">
        <v>4</v>
      </c>
      <c r="G426" s="71"/>
      <c r="H426" s="123" t="str">
        <f>$H$87</f>
        <v>Actual</v>
      </c>
      <c r="I426" s="71"/>
      <c r="J426" s="123" t="str">
        <f>$J$87</f>
        <v>Actual</v>
      </c>
      <c r="K426" s="123"/>
      <c r="L426" s="71"/>
      <c r="M426" s="123" t="str">
        <f>$M$87</f>
        <v>Estimate</v>
      </c>
      <c r="O426" s="109"/>
    </row>
    <row r="427" spans="1:15" s="5" customFormat="1" ht="9.75" customHeight="1">
      <c r="A427" s="15" t="s">
        <v>1</v>
      </c>
      <c r="B427" s="15" t="s">
        <v>1</v>
      </c>
      <c r="C427" s="15" t="s">
        <v>1</v>
      </c>
      <c r="D427" s="15" t="s">
        <v>1</v>
      </c>
      <c r="E427" s="15" t="s">
        <v>1</v>
      </c>
      <c r="F427" s="15" t="s">
        <v>1</v>
      </c>
      <c r="G427" s="15" t="s">
        <v>1</v>
      </c>
      <c r="H427" s="15" t="s">
        <v>1</v>
      </c>
      <c r="I427" s="15" t="s">
        <v>1</v>
      </c>
      <c r="J427" s="176" t="s">
        <v>1</v>
      </c>
      <c r="K427" s="176"/>
      <c r="L427" s="15" t="s">
        <v>1</v>
      </c>
      <c r="M427" s="176" t="s">
        <v>1</v>
      </c>
      <c r="O427" s="109"/>
    </row>
    <row r="428" spans="1:15" s="5" customFormat="1" ht="9.75" customHeight="1">
      <c r="A428" s="30">
        <v>1</v>
      </c>
      <c r="C428" s="4" t="s">
        <v>94</v>
      </c>
      <c r="E428" s="38">
        <v>1</v>
      </c>
      <c r="G428" s="89"/>
      <c r="H428" s="86"/>
      <c r="I428" s="89"/>
      <c r="J428" s="86"/>
      <c r="K428" s="86"/>
      <c r="L428" s="89"/>
      <c r="M428" s="86"/>
      <c r="O428" s="109"/>
    </row>
    <row r="429" spans="1:15" s="5" customFormat="1" ht="9.75" customHeight="1">
      <c r="A429" s="30">
        <f>(A428+1)</f>
        <v>2</v>
      </c>
      <c r="C429" s="4" t="s">
        <v>80</v>
      </c>
      <c r="E429" s="38">
        <v>2</v>
      </c>
      <c r="F429" s="241"/>
      <c r="G429" s="180"/>
      <c r="H429" s="241">
        <v>0</v>
      </c>
      <c r="I429" s="180"/>
      <c r="J429" s="241"/>
      <c r="K429" s="241"/>
      <c r="L429" s="180"/>
      <c r="M429" s="241"/>
      <c r="O429" s="109"/>
    </row>
    <row r="430" spans="1:16" s="5" customFormat="1" ht="9.75" customHeight="1">
      <c r="A430" s="30">
        <f aca="true" t="shared" si="9" ref="A430:A435">(A429+1)</f>
        <v>3</v>
      </c>
      <c r="C430" s="4" t="s">
        <v>249</v>
      </c>
      <c r="E430" s="38">
        <v>3</v>
      </c>
      <c r="F430" s="27"/>
      <c r="G430" s="180"/>
      <c r="H430" s="179">
        <f>1231200+509976</f>
        <v>1741176</v>
      </c>
      <c r="I430" s="180"/>
      <c r="J430" s="179">
        <v>3234017</v>
      </c>
      <c r="K430" s="179"/>
      <c r="L430" s="180"/>
      <c r="M430" s="179">
        <v>4637341</v>
      </c>
      <c r="O430" s="109"/>
      <c r="P430" s="113"/>
    </row>
    <row r="431" spans="1:16" s="5" customFormat="1" ht="9.75" customHeight="1">
      <c r="A431" s="30">
        <f t="shared" si="9"/>
        <v>4</v>
      </c>
      <c r="C431" s="4" t="s">
        <v>250</v>
      </c>
      <c r="E431" s="38">
        <v>4</v>
      </c>
      <c r="F431" s="27"/>
      <c r="G431" s="180"/>
      <c r="H431" s="86"/>
      <c r="I431" s="180"/>
      <c r="J431" s="86"/>
      <c r="K431" s="86"/>
      <c r="L431" s="180"/>
      <c r="M431" s="86">
        <v>0</v>
      </c>
      <c r="O431" s="109"/>
      <c r="P431" s="113"/>
    </row>
    <row r="432" spans="1:15" s="5" customFormat="1" ht="9.75" customHeight="1">
      <c r="A432" s="30">
        <f t="shared" si="9"/>
        <v>5</v>
      </c>
      <c r="C432" s="5" t="s">
        <v>505</v>
      </c>
      <c r="E432" s="38">
        <v>5</v>
      </c>
      <c r="F432" s="27"/>
      <c r="G432" s="180"/>
      <c r="H432" s="179">
        <v>972424</v>
      </c>
      <c r="I432" s="180"/>
      <c r="J432" s="179">
        <v>1076319</v>
      </c>
      <c r="K432" s="179"/>
      <c r="L432" s="180"/>
      <c r="M432" s="179">
        <v>1107705</v>
      </c>
      <c r="O432" s="109"/>
    </row>
    <row r="433" spans="1:15" s="5" customFormat="1" ht="9.75" customHeight="1">
      <c r="A433" s="30">
        <f t="shared" si="9"/>
        <v>6</v>
      </c>
      <c r="C433" s="5" t="s">
        <v>238</v>
      </c>
      <c r="E433" s="38">
        <v>6</v>
      </c>
      <c r="F433" s="27"/>
      <c r="G433" s="180"/>
      <c r="H433" s="179"/>
      <c r="I433" s="180"/>
      <c r="J433" s="179"/>
      <c r="K433" s="179"/>
      <c r="L433" s="180"/>
      <c r="M433" s="179"/>
      <c r="O433" s="109"/>
    </row>
    <row r="434" spans="1:15" s="5" customFormat="1" ht="9.75" customHeight="1">
      <c r="A434" s="30">
        <f t="shared" si="9"/>
        <v>7</v>
      </c>
      <c r="C434" s="5" t="s">
        <v>263</v>
      </c>
      <c r="E434" s="38">
        <v>7</v>
      </c>
      <c r="F434" s="27"/>
      <c r="G434" s="180"/>
      <c r="H434" s="179"/>
      <c r="I434" s="180"/>
      <c r="J434" s="179"/>
      <c r="K434" s="179"/>
      <c r="L434" s="180"/>
      <c r="M434" s="179"/>
      <c r="O434" s="109"/>
    </row>
    <row r="435" spans="1:15" s="5" customFormat="1" ht="9.75" customHeight="1">
      <c r="A435" s="30">
        <f t="shared" si="9"/>
        <v>8</v>
      </c>
      <c r="E435" s="38">
        <v>8</v>
      </c>
      <c r="F435" s="27"/>
      <c r="G435" s="180"/>
      <c r="H435" s="179"/>
      <c r="I435" s="180"/>
      <c r="J435" s="179"/>
      <c r="K435" s="179"/>
      <c r="L435" s="180"/>
      <c r="M435" s="179"/>
      <c r="O435" s="109"/>
    </row>
    <row r="436" spans="1:15" s="5" customFormat="1" ht="9.75" customHeight="1">
      <c r="A436" s="30">
        <v>9</v>
      </c>
      <c r="C436" s="5" t="s">
        <v>82</v>
      </c>
      <c r="E436" s="38">
        <v>9</v>
      </c>
      <c r="F436" s="27"/>
      <c r="G436" s="180"/>
      <c r="H436" s="179">
        <f>SUM(H429:H435)</f>
        <v>2713600</v>
      </c>
      <c r="I436" s="180"/>
      <c r="J436" s="179">
        <f>SUM(J429:J435)</f>
        <v>4310336</v>
      </c>
      <c r="K436" s="179"/>
      <c r="L436" s="180"/>
      <c r="M436" s="179">
        <f>SUM(M429:M435)</f>
        <v>5745046</v>
      </c>
      <c r="O436" s="109"/>
    </row>
    <row r="437" spans="1:15" s="5" customFormat="1" ht="9.75" customHeight="1">
      <c r="A437" s="30"/>
      <c r="E437" s="38"/>
      <c r="F437" s="24" t="s">
        <v>1</v>
      </c>
      <c r="G437" s="24" t="s">
        <v>1</v>
      </c>
      <c r="H437" s="24" t="s">
        <v>1</v>
      </c>
      <c r="I437" s="24" t="s">
        <v>1</v>
      </c>
      <c r="J437" s="24" t="s">
        <v>1</v>
      </c>
      <c r="K437" s="24"/>
      <c r="L437" s="24" t="s">
        <v>1</v>
      </c>
      <c r="M437" s="24" t="s">
        <v>1</v>
      </c>
      <c r="O437" s="109"/>
    </row>
    <row r="438" spans="1:16" s="5" customFormat="1" ht="9.75" customHeight="1">
      <c r="A438" s="30">
        <v>10</v>
      </c>
      <c r="C438" s="31" t="s">
        <v>83</v>
      </c>
      <c r="E438" s="38">
        <v>10</v>
      </c>
      <c r="F438" s="241"/>
      <c r="G438" s="241"/>
      <c r="H438" s="241">
        <f>4999329</f>
        <v>4999329</v>
      </c>
      <c r="I438" s="241"/>
      <c r="J438" s="241">
        <v>4469931</v>
      </c>
      <c r="K438" s="241"/>
      <c r="L438" s="241"/>
      <c r="M438" s="241">
        <v>2077094</v>
      </c>
      <c r="O438" s="109"/>
      <c r="P438" s="113"/>
    </row>
    <row r="439" spans="1:15" s="5" customFormat="1" ht="9.75" customHeight="1">
      <c r="A439" s="30">
        <v>11</v>
      </c>
      <c r="C439" s="31" t="s">
        <v>506</v>
      </c>
      <c r="E439" s="38">
        <v>11</v>
      </c>
      <c r="G439" s="89"/>
      <c r="H439" s="241">
        <v>0</v>
      </c>
      <c r="I439" s="89"/>
      <c r="J439" s="241">
        <v>0</v>
      </c>
      <c r="K439" s="241"/>
      <c r="L439" s="89"/>
      <c r="M439" s="241">
        <v>0</v>
      </c>
      <c r="O439" s="109"/>
    </row>
    <row r="440" spans="1:16" s="5" customFormat="1" ht="9.75" customHeight="1">
      <c r="A440" s="30">
        <v>12</v>
      </c>
      <c r="C440" s="31" t="s">
        <v>81</v>
      </c>
      <c r="D440" s="35"/>
      <c r="E440" s="38">
        <v>12</v>
      </c>
      <c r="G440" s="89"/>
      <c r="H440" s="86">
        <f>1277+363175+50+2726275</f>
        <v>3090777</v>
      </c>
      <c r="I440" s="89"/>
      <c r="J440" s="86">
        <v>3936218</v>
      </c>
      <c r="K440" s="86"/>
      <c r="L440" s="89"/>
      <c r="M440" s="86">
        <v>2592285</v>
      </c>
      <c r="O440" s="109"/>
      <c r="P440" s="113"/>
    </row>
    <row r="441" spans="1:15" s="5" customFormat="1" ht="9.75" customHeight="1">
      <c r="A441" s="30">
        <v>13</v>
      </c>
      <c r="E441" s="38">
        <v>13</v>
      </c>
      <c r="G441" s="89"/>
      <c r="H441" s="192"/>
      <c r="I441" s="89"/>
      <c r="J441" s="86"/>
      <c r="K441" s="86"/>
      <c r="L441" s="89"/>
      <c r="M441" s="86"/>
      <c r="O441" s="109"/>
    </row>
    <row r="442" spans="6:15" s="5" customFormat="1" ht="9.75" customHeight="1">
      <c r="F442" s="24" t="s">
        <v>1</v>
      </c>
      <c r="G442" s="24" t="s">
        <v>1</v>
      </c>
      <c r="H442" s="24" t="s">
        <v>1</v>
      </c>
      <c r="I442" s="24" t="s">
        <v>1</v>
      </c>
      <c r="J442" s="24" t="s">
        <v>1</v>
      </c>
      <c r="K442" s="24"/>
      <c r="L442" s="24" t="s">
        <v>1</v>
      </c>
      <c r="M442" s="24" t="s">
        <v>1</v>
      </c>
      <c r="O442" s="109"/>
    </row>
    <row r="443" spans="1:15" s="5" customFormat="1" ht="9.75" customHeight="1">
      <c r="A443" s="30">
        <v>14</v>
      </c>
      <c r="C443" s="5" t="s">
        <v>116</v>
      </c>
      <c r="E443" s="38">
        <v>14</v>
      </c>
      <c r="G443" s="89"/>
      <c r="H443" s="86">
        <f>SUM(H438:H441)</f>
        <v>8090106</v>
      </c>
      <c r="I443" s="89"/>
      <c r="J443" s="86">
        <f>SUM(J438:J441)</f>
        <v>8406149</v>
      </c>
      <c r="K443" s="86"/>
      <c r="L443" s="89"/>
      <c r="M443" s="86">
        <f>SUM(M438:M441)</f>
        <v>4669379</v>
      </c>
      <c r="O443" s="109"/>
    </row>
    <row r="444" spans="1:15" s="5" customFormat="1" ht="9.75" customHeight="1">
      <c r="A444" s="30"/>
      <c r="E444" s="38"/>
      <c r="F444" s="24" t="s">
        <v>1</v>
      </c>
      <c r="G444" s="24" t="s">
        <v>1</v>
      </c>
      <c r="H444" s="24" t="s">
        <v>1</v>
      </c>
      <c r="I444" s="24" t="s">
        <v>1</v>
      </c>
      <c r="J444" s="24" t="s">
        <v>1</v>
      </c>
      <c r="K444" s="24"/>
      <c r="L444" s="24" t="s">
        <v>1</v>
      </c>
      <c r="M444" s="24" t="s">
        <v>1</v>
      </c>
      <c r="O444" s="109"/>
    </row>
    <row r="445" spans="1:15" s="5" customFormat="1" ht="9.75" customHeight="1">
      <c r="A445" s="30">
        <v>15</v>
      </c>
      <c r="C445" s="31" t="s">
        <v>93</v>
      </c>
      <c r="D445" s="36"/>
      <c r="E445" s="30">
        <v>15</v>
      </c>
      <c r="G445" s="89"/>
      <c r="H445" s="86">
        <f>SUM(H436,H443)</f>
        <v>10803706</v>
      </c>
      <c r="I445" s="89"/>
      <c r="J445" s="86">
        <f>SUM(J436,J443)</f>
        <v>12716485</v>
      </c>
      <c r="K445" s="86"/>
      <c r="L445" s="89"/>
      <c r="M445" s="86">
        <f>SUM(M436,M443)</f>
        <v>10414425</v>
      </c>
      <c r="O445" s="109"/>
    </row>
    <row r="446" spans="1:15" s="5" customFormat="1" ht="9.75" customHeight="1">
      <c r="A446" s="30">
        <v>16</v>
      </c>
      <c r="C446" s="4" t="s">
        <v>206</v>
      </c>
      <c r="E446" s="30">
        <v>16</v>
      </c>
      <c r="F446" s="27"/>
      <c r="G446" s="180"/>
      <c r="H446" s="241">
        <v>-729359</v>
      </c>
      <c r="I446" s="179"/>
      <c r="J446" s="241">
        <v>-1021166</v>
      </c>
      <c r="K446" s="241"/>
      <c r="L446" s="179"/>
      <c r="M446" s="241">
        <v>0</v>
      </c>
      <c r="O446" s="109"/>
    </row>
    <row r="447" spans="1:15" s="5" customFormat="1" ht="9.75" customHeight="1">
      <c r="A447" s="30">
        <v>17</v>
      </c>
      <c r="E447" s="30">
        <v>17</v>
      </c>
      <c r="F447" s="27"/>
      <c r="G447" s="27"/>
      <c r="H447" s="192"/>
      <c r="I447" s="179"/>
      <c r="J447" s="179"/>
      <c r="K447" s="179"/>
      <c r="L447" s="179"/>
      <c r="M447" s="179"/>
      <c r="O447" s="109"/>
    </row>
    <row r="448" spans="1:15" s="5" customFormat="1" ht="9.75" customHeight="1">
      <c r="A448" s="30">
        <v>18</v>
      </c>
      <c r="E448" s="30">
        <v>18</v>
      </c>
      <c r="O448" s="109"/>
    </row>
    <row r="449" spans="1:15" s="5" customFormat="1" ht="9.75" customHeight="1">
      <c r="A449" s="30">
        <v>19</v>
      </c>
      <c r="E449" s="30">
        <v>19</v>
      </c>
      <c r="O449" s="109"/>
    </row>
    <row r="450" spans="1:15" s="5" customFormat="1" ht="9.75" customHeight="1">
      <c r="A450" s="30"/>
      <c r="C450" s="31"/>
      <c r="E450" s="30"/>
      <c r="F450" s="24" t="s">
        <v>1</v>
      </c>
      <c r="G450" s="24" t="s">
        <v>1</v>
      </c>
      <c r="H450" s="24" t="s">
        <v>1</v>
      </c>
      <c r="I450" s="24" t="s">
        <v>1</v>
      </c>
      <c r="J450" s="24" t="s">
        <v>1</v>
      </c>
      <c r="K450" s="24"/>
      <c r="L450" s="24" t="s">
        <v>1</v>
      </c>
      <c r="M450" s="24" t="s">
        <v>1</v>
      </c>
      <c r="O450" s="109"/>
    </row>
    <row r="451" spans="1:15" s="5" customFormat="1" ht="9.75" customHeight="1">
      <c r="A451" s="30">
        <v>20</v>
      </c>
      <c r="C451" s="31" t="s">
        <v>92</v>
      </c>
      <c r="E451" s="30">
        <v>20</v>
      </c>
      <c r="G451" s="89"/>
      <c r="H451" s="86">
        <f>SUM(H445+H446)</f>
        <v>10074347</v>
      </c>
      <c r="I451" s="89"/>
      <c r="J451" s="86">
        <f>SUM(J445+J446)</f>
        <v>11695319</v>
      </c>
      <c r="K451" s="86"/>
      <c r="L451" s="89"/>
      <c r="M451" s="86">
        <f>SUM(M445+M446)</f>
        <v>10414425</v>
      </c>
      <c r="O451" s="109"/>
    </row>
    <row r="452" spans="1:15" s="5" customFormat="1" ht="9.75" customHeight="1">
      <c r="A452" s="37"/>
      <c r="C452" s="4" t="s">
        <v>203</v>
      </c>
      <c r="E452" s="38"/>
      <c r="F452" s="24" t="s">
        <v>1</v>
      </c>
      <c r="G452" s="24" t="s">
        <v>1</v>
      </c>
      <c r="H452" s="24" t="s">
        <v>1</v>
      </c>
      <c r="I452" s="24" t="s">
        <v>1</v>
      </c>
      <c r="J452" s="24" t="s">
        <v>1</v>
      </c>
      <c r="K452" s="24"/>
      <c r="L452" s="24" t="s">
        <v>1</v>
      </c>
      <c r="M452" s="24" t="s">
        <v>1</v>
      </c>
      <c r="O452" s="109"/>
    </row>
    <row r="453" spans="1:15" s="5" customFormat="1" ht="9.75" customHeight="1">
      <c r="A453" s="37"/>
      <c r="C453" s="4"/>
      <c r="E453" s="38"/>
      <c r="F453" s="24"/>
      <c r="G453" s="24"/>
      <c r="H453" s="24"/>
      <c r="I453" s="24"/>
      <c r="J453" s="24"/>
      <c r="K453" s="24"/>
      <c r="L453" s="24"/>
      <c r="M453" s="24"/>
      <c r="O453" s="109"/>
    </row>
    <row r="454" spans="1:15" s="5" customFormat="1" ht="9.75" customHeight="1">
      <c r="A454" s="37"/>
      <c r="C454" s="5" t="s">
        <v>507</v>
      </c>
      <c r="E454" s="38"/>
      <c r="F454" s="24"/>
      <c r="G454" s="24"/>
      <c r="H454" s="24"/>
      <c r="I454" s="24"/>
      <c r="J454" s="24"/>
      <c r="K454" s="24"/>
      <c r="L454" s="24"/>
      <c r="M454" s="24"/>
      <c r="O454" s="109"/>
    </row>
    <row r="455" spans="1:15" s="5" customFormat="1" ht="9.75" customHeight="1">
      <c r="A455" s="37"/>
      <c r="E455" s="38"/>
      <c r="F455" s="24"/>
      <c r="G455" s="24"/>
      <c r="H455" s="24"/>
      <c r="I455" s="24"/>
      <c r="J455" s="24"/>
      <c r="K455" s="24"/>
      <c r="L455" s="24"/>
      <c r="M455" s="24"/>
      <c r="O455" s="109"/>
    </row>
    <row r="456" spans="1:15" s="5" customFormat="1" ht="9.75" customHeight="1">
      <c r="A456" s="37"/>
      <c r="E456" s="38"/>
      <c r="F456" s="24"/>
      <c r="G456" s="24"/>
      <c r="H456" s="24"/>
      <c r="I456" s="24"/>
      <c r="J456" s="24"/>
      <c r="K456" s="24"/>
      <c r="L456" s="24"/>
      <c r="M456" s="24"/>
      <c r="O456" s="109"/>
    </row>
    <row r="457" spans="1:15" s="5" customFormat="1" ht="9.75" customHeight="1">
      <c r="A457" s="37"/>
      <c r="E457" s="38"/>
      <c r="F457" s="24"/>
      <c r="G457" s="24"/>
      <c r="H457" s="24"/>
      <c r="I457" s="24"/>
      <c r="J457" s="24"/>
      <c r="K457" s="24"/>
      <c r="L457" s="24"/>
      <c r="M457" s="24"/>
      <c r="O457" s="109"/>
    </row>
    <row r="458" spans="1:15" s="5" customFormat="1" ht="9.75" customHeight="1">
      <c r="A458" s="68" t="str">
        <f>+A82</f>
        <v>Institution No.:  GFE </v>
      </c>
      <c r="E458" s="38"/>
      <c r="G458" s="71"/>
      <c r="H458" s="86"/>
      <c r="I458" s="71"/>
      <c r="J458" s="189"/>
      <c r="K458" s="189"/>
      <c r="L458" s="71"/>
      <c r="M458" s="189" t="s">
        <v>84</v>
      </c>
      <c r="O458" s="109"/>
    </row>
    <row r="459" spans="4:15" s="5" customFormat="1" ht="9.75" customHeight="1">
      <c r="D459" s="71" t="s">
        <v>85</v>
      </c>
      <c r="E459" s="38"/>
      <c r="G459" s="71"/>
      <c r="H459" s="86"/>
      <c r="I459" s="71"/>
      <c r="J459" s="86"/>
      <c r="K459" s="86"/>
      <c r="L459" s="71"/>
      <c r="M459" s="86"/>
      <c r="O459" s="109"/>
    </row>
    <row r="460" spans="1:15" s="5" customFormat="1" ht="9.75" customHeight="1">
      <c r="A460" s="68" t="str">
        <f>+A84</f>
        <v>NAME:  University of Colorado - HSC</v>
      </c>
      <c r="F460" s="106"/>
      <c r="G460" s="106"/>
      <c r="H460" s="86"/>
      <c r="I460" s="71"/>
      <c r="J460" s="190"/>
      <c r="K460" s="190"/>
      <c r="L460" s="71"/>
      <c r="M460" s="228" t="str">
        <f>+M84</f>
        <v>Date:  10-07</v>
      </c>
      <c r="O460" s="109"/>
    </row>
    <row r="461" spans="1:15" s="5" customFormat="1" ht="12">
      <c r="A461" s="15" t="s">
        <v>1</v>
      </c>
      <c r="B461" s="15" t="s">
        <v>1</v>
      </c>
      <c r="C461" s="15" t="s">
        <v>1</v>
      </c>
      <c r="D461" s="15" t="s">
        <v>1</v>
      </c>
      <c r="E461" s="15" t="s">
        <v>1</v>
      </c>
      <c r="F461" s="15" t="s">
        <v>1</v>
      </c>
      <c r="G461" s="15" t="s">
        <v>1</v>
      </c>
      <c r="H461" s="15" t="s">
        <v>1</v>
      </c>
      <c r="I461" s="15" t="s">
        <v>1</v>
      </c>
      <c r="J461" s="15" t="s">
        <v>1</v>
      </c>
      <c r="K461" s="15"/>
      <c r="L461" s="15" t="s">
        <v>1</v>
      </c>
      <c r="M461" s="15" t="s">
        <v>1</v>
      </c>
      <c r="O461" s="109"/>
    </row>
    <row r="462" spans="1:15" s="5" customFormat="1" ht="12">
      <c r="A462" s="73" t="s">
        <v>2</v>
      </c>
      <c r="E462" s="73" t="s">
        <v>2</v>
      </c>
      <c r="G462" s="89"/>
      <c r="H462" s="123" t="str">
        <f>$H$86</f>
        <v>2005-06</v>
      </c>
      <c r="I462" s="89"/>
      <c r="J462" s="123" t="str">
        <f>$J$86</f>
        <v>2006-07</v>
      </c>
      <c r="K462" s="123"/>
      <c r="L462" s="89"/>
      <c r="M462" s="123" t="str">
        <f>$M$86</f>
        <v>2007-08</v>
      </c>
      <c r="O462" s="109"/>
    </row>
    <row r="463" spans="1:15" s="5" customFormat="1" ht="12">
      <c r="A463" s="73" t="s">
        <v>4</v>
      </c>
      <c r="C463" s="74" t="s">
        <v>20</v>
      </c>
      <c r="E463" s="73" t="s">
        <v>4</v>
      </c>
      <c r="G463" s="71"/>
      <c r="H463" s="123" t="str">
        <f>$H$87</f>
        <v>Actual</v>
      </c>
      <c r="I463" s="71"/>
      <c r="J463" s="123" t="str">
        <f>$J$87</f>
        <v>Actual</v>
      </c>
      <c r="K463" s="123"/>
      <c r="L463" s="71"/>
      <c r="M463" s="123" t="str">
        <f>$M$87</f>
        <v>Estimate</v>
      </c>
      <c r="O463" s="109"/>
    </row>
    <row r="464" spans="1:15" s="5" customFormat="1" ht="12">
      <c r="A464" s="15" t="s">
        <v>1</v>
      </c>
      <c r="B464" s="15" t="s">
        <v>1</v>
      </c>
      <c r="C464" s="15" t="s">
        <v>1</v>
      </c>
      <c r="D464" s="15" t="s">
        <v>1</v>
      </c>
      <c r="E464" s="15" t="s">
        <v>1</v>
      </c>
      <c r="F464" s="15" t="s">
        <v>1</v>
      </c>
      <c r="G464" s="15" t="s">
        <v>1</v>
      </c>
      <c r="H464" s="15" t="s">
        <v>1</v>
      </c>
      <c r="I464" s="15" t="s">
        <v>1</v>
      </c>
      <c r="J464" s="176" t="s">
        <v>1</v>
      </c>
      <c r="K464" s="176"/>
      <c r="L464" s="15" t="s">
        <v>1</v>
      </c>
      <c r="M464" s="176" t="s">
        <v>1</v>
      </c>
      <c r="O464" s="109"/>
    </row>
    <row r="465" spans="1:15" s="5" customFormat="1" ht="12">
      <c r="A465" s="30">
        <v>1</v>
      </c>
      <c r="C465" s="4" t="s">
        <v>95</v>
      </c>
      <c r="E465" s="30">
        <v>1</v>
      </c>
      <c r="G465" s="89"/>
      <c r="H465" s="86"/>
      <c r="I465" s="89"/>
      <c r="J465" s="86"/>
      <c r="K465" s="86"/>
      <c r="L465" s="89"/>
      <c r="M465" s="86"/>
      <c r="O465" s="109"/>
    </row>
    <row r="466" spans="1:15" s="5" customFormat="1" ht="12">
      <c r="A466" s="30"/>
      <c r="C466" s="4"/>
      <c r="E466" s="30"/>
      <c r="G466" s="89"/>
      <c r="H466" s="86"/>
      <c r="I466" s="89"/>
      <c r="J466" s="86"/>
      <c r="K466" s="86"/>
      <c r="L466" s="89"/>
      <c r="M466" s="86"/>
      <c r="O466" s="109"/>
    </row>
    <row r="467" spans="1:15" s="5" customFormat="1" ht="12">
      <c r="A467" s="30">
        <f>(A465+1)</f>
        <v>2</v>
      </c>
      <c r="C467" s="27" t="s">
        <v>86</v>
      </c>
      <c r="E467" s="30">
        <f>(E465+1)</f>
        <v>2</v>
      </c>
      <c r="F467" s="27"/>
      <c r="G467" s="180"/>
      <c r="H467" s="179">
        <f>43245855+24965</f>
        <v>43270820</v>
      </c>
      <c r="I467" s="180"/>
      <c r="J467" s="179">
        <v>45749007</v>
      </c>
      <c r="K467" s="179"/>
      <c r="L467" s="180"/>
      <c r="M467" s="179">
        <v>47181778</v>
      </c>
      <c r="O467" s="109"/>
    </row>
    <row r="468" spans="1:15" s="5" customFormat="1" ht="12">
      <c r="A468" s="30">
        <f aca="true" t="shared" si="10" ref="A468:A473">(A467+1)</f>
        <v>3</v>
      </c>
      <c r="C468" s="27" t="s">
        <v>87</v>
      </c>
      <c r="E468" s="30">
        <f aca="true" t="shared" si="11" ref="E468:E473">(E467+1)</f>
        <v>3</v>
      </c>
      <c r="F468" s="241"/>
      <c r="G468" s="241"/>
      <c r="H468" s="241"/>
      <c r="I468" s="241"/>
      <c r="J468" s="241"/>
      <c r="K468" s="241"/>
      <c r="L468" s="241"/>
      <c r="M468" s="241"/>
      <c r="O468" s="109"/>
    </row>
    <row r="469" spans="1:15" s="5" customFormat="1" ht="12">
      <c r="A469" s="30">
        <f t="shared" si="10"/>
        <v>4</v>
      </c>
      <c r="C469" s="27" t="s">
        <v>264</v>
      </c>
      <c r="E469" s="30">
        <f t="shared" si="11"/>
        <v>4</v>
      </c>
      <c r="F469" s="27"/>
      <c r="G469" s="180"/>
      <c r="H469" s="179"/>
      <c r="I469" s="180"/>
      <c r="J469" s="179"/>
      <c r="K469" s="179"/>
      <c r="L469" s="180"/>
      <c r="M469" s="179"/>
      <c r="O469" s="109"/>
    </row>
    <row r="470" spans="1:15" s="5" customFormat="1" ht="12">
      <c r="A470" s="30">
        <f t="shared" si="10"/>
        <v>5</v>
      </c>
      <c r="C470" s="27"/>
      <c r="E470" s="30">
        <f t="shared" si="11"/>
        <v>5</v>
      </c>
      <c r="F470" s="27"/>
      <c r="G470" s="180"/>
      <c r="H470" s="179"/>
      <c r="I470" s="180"/>
      <c r="J470" s="179"/>
      <c r="K470" s="179"/>
      <c r="L470" s="180"/>
      <c r="M470" s="179"/>
      <c r="O470" s="109"/>
    </row>
    <row r="471" spans="1:15" s="5" customFormat="1" ht="12">
      <c r="A471" s="30">
        <f t="shared" si="10"/>
        <v>6</v>
      </c>
      <c r="C471" s="27"/>
      <c r="E471" s="30">
        <f t="shared" si="11"/>
        <v>6</v>
      </c>
      <c r="F471" s="27"/>
      <c r="G471" s="180"/>
      <c r="H471" s="179"/>
      <c r="I471" s="180"/>
      <c r="J471" s="179"/>
      <c r="K471" s="179"/>
      <c r="L471" s="180"/>
      <c r="M471" s="179"/>
      <c r="O471" s="109"/>
    </row>
    <row r="472" spans="1:15" s="5" customFormat="1" ht="12">
      <c r="A472" s="30">
        <f t="shared" si="10"/>
        <v>7</v>
      </c>
      <c r="C472" s="27"/>
      <c r="E472" s="30">
        <f t="shared" si="11"/>
        <v>7</v>
      </c>
      <c r="F472" s="27"/>
      <c r="G472" s="180"/>
      <c r="H472" s="179"/>
      <c r="I472" s="180"/>
      <c r="J472" s="179"/>
      <c r="K472" s="179"/>
      <c r="L472" s="180"/>
      <c r="M472" s="179"/>
      <c r="O472" s="109"/>
    </row>
    <row r="473" spans="1:15" s="5" customFormat="1" ht="12">
      <c r="A473" s="30">
        <f t="shared" si="10"/>
        <v>8</v>
      </c>
      <c r="C473" s="27"/>
      <c r="E473" s="30">
        <f t="shared" si="11"/>
        <v>8</v>
      </c>
      <c r="F473" s="27"/>
      <c r="G473" s="180"/>
      <c r="H473" s="179"/>
      <c r="I473" s="180"/>
      <c r="J473" s="179"/>
      <c r="K473" s="179"/>
      <c r="L473" s="180"/>
      <c r="M473" s="179"/>
      <c r="O473" s="109"/>
    </row>
    <row r="474" spans="1:15" s="5" customFormat="1" ht="12">
      <c r="A474" s="30"/>
      <c r="C474" s="27"/>
      <c r="E474" s="30"/>
      <c r="F474" s="24" t="s">
        <v>1</v>
      </c>
      <c r="G474" s="24" t="s">
        <v>1</v>
      </c>
      <c r="H474" s="24" t="s">
        <v>1</v>
      </c>
      <c r="I474" s="24" t="s">
        <v>1</v>
      </c>
      <c r="J474" s="24" t="s">
        <v>1</v>
      </c>
      <c r="K474" s="24"/>
      <c r="L474" s="24" t="s">
        <v>1</v>
      </c>
      <c r="M474" s="24" t="s">
        <v>1</v>
      </c>
      <c r="O474" s="109"/>
    </row>
    <row r="475" spans="1:15" s="5" customFormat="1" ht="12">
      <c r="A475" s="30">
        <v>9</v>
      </c>
      <c r="C475" s="5" t="s">
        <v>82</v>
      </c>
      <c r="E475" s="30">
        <v>9</v>
      </c>
      <c r="F475" s="27"/>
      <c r="G475" s="180"/>
      <c r="H475" s="179">
        <f>SUM(H467:H474)</f>
        <v>43270820</v>
      </c>
      <c r="I475" s="180"/>
      <c r="J475" s="179">
        <f>SUM(J467:J474)</f>
        <v>45749007</v>
      </c>
      <c r="K475" s="179"/>
      <c r="L475" s="180"/>
      <c r="M475" s="179">
        <f>SUM(M467:M474)</f>
        <v>47181778</v>
      </c>
      <c r="O475" s="109"/>
    </row>
    <row r="476" spans="1:15" s="5" customFormat="1" ht="12">
      <c r="A476" s="30"/>
      <c r="C476" s="27"/>
      <c r="E476" s="30"/>
      <c r="F476" s="27"/>
      <c r="G476" s="180"/>
      <c r="H476" s="179"/>
      <c r="I476" s="180"/>
      <c r="J476" s="179"/>
      <c r="K476" s="179"/>
      <c r="L476" s="180"/>
      <c r="M476" s="179"/>
      <c r="O476" s="109"/>
    </row>
    <row r="477" spans="1:15" s="5" customFormat="1" ht="12">
      <c r="A477" s="30">
        <v>10</v>
      </c>
      <c r="C477" s="27" t="s">
        <v>239</v>
      </c>
      <c r="E477" s="30">
        <v>10</v>
      </c>
      <c r="F477" s="241"/>
      <c r="G477" s="241"/>
      <c r="H477" s="241">
        <v>0</v>
      </c>
      <c r="I477" s="241"/>
      <c r="J477" s="241">
        <v>0</v>
      </c>
      <c r="K477" s="241"/>
      <c r="L477" s="241"/>
      <c r="M477" s="241"/>
      <c r="O477" s="109"/>
    </row>
    <row r="478" spans="1:15" s="5" customFormat="1" ht="12">
      <c r="A478" s="30">
        <v>11</v>
      </c>
      <c r="C478" s="5" t="s">
        <v>88</v>
      </c>
      <c r="E478" s="30">
        <v>11</v>
      </c>
      <c r="F478" s="27"/>
      <c r="G478" s="180"/>
      <c r="H478" s="179"/>
      <c r="I478" s="180"/>
      <c r="J478" s="179"/>
      <c r="K478" s="179"/>
      <c r="L478" s="180"/>
      <c r="M478" s="179"/>
      <c r="O478" s="109"/>
    </row>
    <row r="479" spans="1:15" s="5" customFormat="1" ht="12">
      <c r="A479" s="30">
        <v>12</v>
      </c>
      <c r="C479" s="27" t="s">
        <v>508</v>
      </c>
      <c r="E479" s="30">
        <v>12</v>
      </c>
      <c r="F479" s="27"/>
      <c r="G479" s="180"/>
      <c r="H479" s="179"/>
      <c r="I479" s="180"/>
      <c r="J479" s="179"/>
      <c r="K479" s="179"/>
      <c r="L479" s="180"/>
      <c r="M479" s="179"/>
      <c r="O479" s="109"/>
    </row>
    <row r="480" spans="1:15" s="5" customFormat="1" ht="12">
      <c r="A480" s="30">
        <v>13</v>
      </c>
      <c r="C480" s="27"/>
      <c r="E480" s="30">
        <v>13</v>
      </c>
      <c r="F480" s="27"/>
      <c r="G480" s="180"/>
      <c r="H480" s="179"/>
      <c r="I480" s="180"/>
      <c r="J480" s="179"/>
      <c r="K480" s="179"/>
      <c r="L480" s="180"/>
      <c r="M480" s="179"/>
      <c r="O480" s="109"/>
    </row>
    <row r="481" spans="3:15" s="5" customFormat="1" ht="12">
      <c r="C481" s="27"/>
      <c r="F481" s="24" t="s">
        <v>1</v>
      </c>
      <c r="G481" s="24" t="s">
        <v>1</v>
      </c>
      <c r="H481" s="24" t="s">
        <v>1</v>
      </c>
      <c r="I481" s="24" t="s">
        <v>1</v>
      </c>
      <c r="J481" s="24" t="s">
        <v>1</v>
      </c>
      <c r="K481" s="24"/>
      <c r="L481" s="24" t="s">
        <v>1</v>
      </c>
      <c r="M481" s="24" t="s">
        <v>1</v>
      </c>
      <c r="O481" s="109"/>
    </row>
    <row r="482" spans="1:15" s="5" customFormat="1" ht="12">
      <c r="A482" s="30">
        <v>14</v>
      </c>
      <c r="C482" s="5" t="s">
        <v>116</v>
      </c>
      <c r="E482" s="30">
        <v>14</v>
      </c>
      <c r="G482" s="89"/>
      <c r="H482" s="86">
        <f>SUM(H477:H481)</f>
        <v>0</v>
      </c>
      <c r="I482" s="89"/>
      <c r="J482" s="86">
        <f>SUM(J477:J481)</f>
        <v>0</v>
      </c>
      <c r="K482" s="86"/>
      <c r="L482" s="89"/>
      <c r="M482" s="86">
        <f>SUM(M477:M481)</f>
        <v>0</v>
      </c>
      <c r="O482" s="109"/>
    </row>
    <row r="483" spans="1:15" s="5" customFormat="1" ht="12">
      <c r="A483" s="30"/>
      <c r="C483" s="27"/>
      <c r="E483" s="30"/>
      <c r="F483" s="24" t="s">
        <v>1</v>
      </c>
      <c r="G483" s="24" t="s">
        <v>1</v>
      </c>
      <c r="H483" s="24" t="s">
        <v>1</v>
      </c>
      <c r="I483" s="24" t="s">
        <v>1</v>
      </c>
      <c r="J483" s="24" t="s">
        <v>1</v>
      </c>
      <c r="K483" s="24"/>
      <c r="L483" s="24" t="s">
        <v>1</v>
      </c>
      <c r="M483" s="24" t="s">
        <v>1</v>
      </c>
      <c r="O483" s="109"/>
    </row>
    <row r="484" spans="1:15" s="5" customFormat="1" ht="12">
      <c r="A484" s="30">
        <v>15</v>
      </c>
      <c r="C484" s="4" t="s">
        <v>96</v>
      </c>
      <c r="E484" s="30">
        <v>15</v>
      </c>
      <c r="G484" s="89"/>
      <c r="H484" s="86">
        <f>SUM(H475+H482)</f>
        <v>43270820</v>
      </c>
      <c r="I484" s="89"/>
      <c r="J484" s="86">
        <f>SUM(J475+J482)</f>
        <v>45749007</v>
      </c>
      <c r="K484" s="86"/>
      <c r="L484" s="89"/>
      <c r="M484" s="86">
        <f>SUM(M475+M482)</f>
        <v>47181778</v>
      </c>
      <c r="O484" s="109"/>
    </row>
    <row r="485" spans="1:15" s="5" customFormat="1" ht="12">
      <c r="A485" s="30"/>
      <c r="C485" s="4"/>
      <c r="E485" s="30"/>
      <c r="G485" s="89"/>
      <c r="H485" s="86"/>
      <c r="I485" s="89"/>
      <c r="J485" s="86"/>
      <c r="K485" s="86"/>
      <c r="L485" s="89"/>
      <c r="M485" s="86"/>
      <c r="O485" s="109"/>
    </row>
    <row r="486" spans="1:15" s="5" customFormat="1" ht="12">
      <c r="A486" s="30">
        <v>16</v>
      </c>
      <c r="C486" s="4" t="s">
        <v>206</v>
      </c>
      <c r="E486" s="30">
        <v>16</v>
      </c>
      <c r="F486" s="241"/>
      <c r="G486" s="241"/>
      <c r="H486" s="241">
        <v>0</v>
      </c>
      <c r="I486" s="241"/>
      <c r="J486" s="241">
        <v>0</v>
      </c>
      <c r="K486" s="241"/>
      <c r="L486" s="241"/>
      <c r="M486" s="241">
        <v>0</v>
      </c>
      <c r="O486" s="109"/>
    </row>
    <row r="487" spans="1:15" s="5" customFormat="1" ht="12">
      <c r="A487" s="30">
        <v>17</v>
      </c>
      <c r="C487" s="4" t="s">
        <v>207</v>
      </c>
      <c r="E487" s="30">
        <v>17</v>
      </c>
      <c r="F487" s="27"/>
      <c r="G487" s="27"/>
      <c r="H487" s="241">
        <v>609097</v>
      </c>
      <c r="I487" s="179"/>
      <c r="J487" s="241">
        <v>729359</v>
      </c>
      <c r="K487" s="241"/>
      <c r="L487" s="179"/>
      <c r="M487" s="241">
        <v>0</v>
      </c>
      <c r="O487" s="109"/>
    </row>
    <row r="488" spans="1:15" s="5" customFormat="1" ht="12">
      <c r="A488" s="30">
        <v>18</v>
      </c>
      <c r="E488" s="30">
        <v>18</v>
      </c>
      <c r="O488" s="109"/>
    </row>
    <row r="489" spans="1:15" s="5" customFormat="1" ht="12">
      <c r="A489" s="30">
        <v>19</v>
      </c>
      <c r="E489" s="30">
        <v>19</v>
      </c>
      <c r="O489" s="109"/>
    </row>
    <row r="490" spans="1:15" s="5" customFormat="1" ht="12">
      <c r="A490" s="30"/>
      <c r="C490" s="31"/>
      <c r="E490" s="30"/>
      <c r="F490" s="24" t="s">
        <v>1</v>
      </c>
      <c r="G490" s="24" t="s">
        <v>1</v>
      </c>
      <c r="H490" s="24" t="s">
        <v>1</v>
      </c>
      <c r="I490" s="24" t="s">
        <v>1</v>
      </c>
      <c r="J490" s="24" t="s">
        <v>1</v>
      </c>
      <c r="K490" s="24"/>
      <c r="L490" s="24" t="s">
        <v>1</v>
      </c>
      <c r="M490" s="24" t="s">
        <v>1</v>
      </c>
      <c r="O490" s="109"/>
    </row>
    <row r="491" spans="1:15" s="5" customFormat="1" ht="12">
      <c r="A491" s="30">
        <v>20</v>
      </c>
      <c r="C491" s="31" t="s">
        <v>97</v>
      </c>
      <c r="E491" s="30">
        <v>20</v>
      </c>
      <c r="G491" s="89"/>
      <c r="H491" s="86">
        <f>SUM(H484:H489)</f>
        <v>43879917</v>
      </c>
      <c r="I491" s="89"/>
      <c r="J491" s="86">
        <f>SUM(J484:J489)</f>
        <v>46478366</v>
      </c>
      <c r="K491" s="86"/>
      <c r="L491" s="89"/>
      <c r="M491" s="86">
        <f>SUM(M484:M489)</f>
        <v>47181778</v>
      </c>
      <c r="O491" s="109"/>
    </row>
    <row r="492" spans="1:15" s="5" customFormat="1" ht="15.75" customHeight="1">
      <c r="A492" s="37"/>
      <c r="C492" s="4" t="s">
        <v>204</v>
      </c>
      <c r="E492" s="38"/>
      <c r="F492" s="24" t="s">
        <v>1</v>
      </c>
      <c r="G492" s="24" t="s">
        <v>1</v>
      </c>
      <c r="H492" s="24" t="s">
        <v>1</v>
      </c>
      <c r="I492" s="24" t="s">
        <v>1</v>
      </c>
      <c r="J492" s="24" t="s">
        <v>1</v>
      </c>
      <c r="K492" s="24"/>
      <c r="L492" s="24" t="s">
        <v>1</v>
      </c>
      <c r="M492" s="24" t="s">
        <v>1</v>
      </c>
      <c r="O492" s="109"/>
    </row>
    <row r="493" spans="6:15" s="5" customFormat="1" ht="12">
      <c r="F493" s="24"/>
      <c r="G493" s="24"/>
      <c r="H493" s="86"/>
      <c r="I493" s="24"/>
      <c r="J493" s="24"/>
      <c r="K493" s="24"/>
      <c r="L493" s="24"/>
      <c r="M493" s="24"/>
      <c r="O493" s="109"/>
    </row>
    <row r="494" spans="1:15" s="5" customFormat="1" ht="12">
      <c r="A494" s="70" t="str">
        <f>+A458</f>
        <v>Institution No.:  GFE </v>
      </c>
      <c r="B494" s="21"/>
      <c r="C494" s="21"/>
      <c r="D494" s="21"/>
      <c r="E494" s="20"/>
      <c r="F494" s="21"/>
      <c r="G494" s="21"/>
      <c r="H494" s="21"/>
      <c r="I494" s="23"/>
      <c r="J494" s="21"/>
      <c r="K494" s="21"/>
      <c r="L494" s="22"/>
      <c r="M494" s="69" t="s">
        <v>252</v>
      </c>
      <c r="O494" s="109"/>
    </row>
    <row r="495" spans="1:15" s="5" customFormat="1" ht="12">
      <c r="A495" s="21"/>
      <c r="B495" s="21"/>
      <c r="C495" s="21"/>
      <c r="D495" s="26" t="s">
        <v>251</v>
      </c>
      <c r="E495" s="20"/>
      <c r="F495" s="21"/>
      <c r="G495" s="21"/>
      <c r="H495" s="21"/>
      <c r="I495" s="23"/>
      <c r="J495" s="21"/>
      <c r="K495" s="21"/>
      <c r="L495" s="22"/>
      <c r="M495" s="23"/>
      <c r="O495" s="109"/>
    </row>
    <row r="496" spans="1:15" s="5" customFormat="1" ht="12">
      <c r="A496" s="70" t="str">
        <f>$A$84</f>
        <v>NAME:  University of Colorado - HSC</v>
      </c>
      <c r="F496" s="106"/>
      <c r="G496" s="106"/>
      <c r="H496" s="106"/>
      <c r="I496" s="25"/>
      <c r="L496" s="6"/>
      <c r="M496" s="242">
        <f>$M$3</f>
        <v>0</v>
      </c>
      <c r="O496" s="109"/>
    </row>
    <row r="497" spans="1:15" s="5" customFormat="1" ht="12">
      <c r="A497" s="15" t="s">
        <v>1</v>
      </c>
      <c r="B497" s="15" t="s">
        <v>1</v>
      </c>
      <c r="C497" s="15" t="s">
        <v>1</v>
      </c>
      <c r="D497" s="15" t="s">
        <v>1</v>
      </c>
      <c r="E497" s="15" t="s">
        <v>1</v>
      </c>
      <c r="F497" s="15" t="s">
        <v>1</v>
      </c>
      <c r="G497" s="15"/>
      <c r="H497" s="15"/>
      <c r="I497" s="19" t="s">
        <v>1</v>
      </c>
      <c r="J497" s="15" t="s">
        <v>1</v>
      </c>
      <c r="K497" s="15"/>
      <c r="L497" s="16" t="s">
        <v>1</v>
      </c>
      <c r="M497" s="19" t="s">
        <v>1</v>
      </c>
      <c r="O497" s="109"/>
    </row>
    <row r="498" spans="1:15" s="5" customFormat="1" ht="12">
      <c r="A498" s="73" t="s">
        <v>2</v>
      </c>
      <c r="E498" s="73" t="s">
        <v>2</v>
      </c>
      <c r="H498" s="1" t="s">
        <v>172</v>
      </c>
      <c r="I498" s="3" t="s">
        <v>280</v>
      </c>
      <c r="J498" s="1"/>
      <c r="K498" s="1"/>
      <c r="L498" s="2"/>
      <c r="M498" s="3" t="s">
        <v>289</v>
      </c>
      <c r="O498" s="109"/>
    </row>
    <row r="499" spans="1:15" s="5" customFormat="1" ht="12">
      <c r="A499" s="73" t="s">
        <v>4</v>
      </c>
      <c r="C499" s="74" t="s">
        <v>20</v>
      </c>
      <c r="E499" s="73" t="s">
        <v>4</v>
      </c>
      <c r="H499" s="3" t="s">
        <v>7</v>
      </c>
      <c r="I499" s="3" t="s">
        <v>7</v>
      </c>
      <c r="L499" s="6"/>
      <c r="M499" s="3" t="s">
        <v>8</v>
      </c>
      <c r="O499" s="109"/>
    </row>
    <row r="500" spans="1:15" s="5" customFormat="1" ht="12">
      <c r="A500" s="15" t="s">
        <v>1</v>
      </c>
      <c r="B500" s="15" t="s">
        <v>1</v>
      </c>
      <c r="C500" s="15" t="s">
        <v>1</v>
      </c>
      <c r="D500" s="15" t="s">
        <v>1</v>
      </c>
      <c r="E500" s="15" t="s">
        <v>1</v>
      </c>
      <c r="F500" s="15" t="s">
        <v>1</v>
      </c>
      <c r="G500" s="15"/>
      <c r="H500" s="15"/>
      <c r="I500" s="19" t="s">
        <v>1</v>
      </c>
      <c r="J500" s="15" t="s">
        <v>1</v>
      </c>
      <c r="K500" s="15"/>
      <c r="L500" s="16" t="s">
        <v>1</v>
      </c>
      <c r="M500" s="19" t="s">
        <v>1</v>
      </c>
      <c r="O500" s="109"/>
    </row>
    <row r="501" spans="1:15" s="5" customFormat="1" ht="12">
      <c r="A501" s="30">
        <v>1</v>
      </c>
      <c r="C501" s="4" t="s">
        <v>259</v>
      </c>
      <c r="E501" s="30">
        <v>1</v>
      </c>
      <c r="H501" s="33"/>
      <c r="I501" s="34"/>
      <c r="J501" s="33"/>
      <c r="K501" s="33"/>
      <c r="L501" s="34"/>
      <c r="M501" s="34"/>
      <c r="O501" s="109"/>
    </row>
    <row r="502" spans="1:15" s="5" customFormat="1" ht="12">
      <c r="A502" s="30"/>
      <c r="C502" s="4"/>
      <c r="E502" s="30"/>
      <c r="H502" s="33"/>
      <c r="I502" s="34"/>
      <c r="J502" s="33"/>
      <c r="K502" s="33"/>
      <c r="L502" s="34"/>
      <c r="M502" s="34"/>
      <c r="O502" s="109"/>
    </row>
    <row r="503" spans="1:15" s="5" customFormat="1" ht="12">
      <c r="A503" s="30">
        <f>(A501+1)</f>
        <v>2</v>
      </c>
      <c r="C503" s="27" t="s">
        <v>260</v>
      </c>
      <c r="E503" s="30">
        <f>(E501+1)</f>
        <v>2</v>
      </c>
      <c r="F503" s="27"/>
      <c r="G503" s="27"/>
      <c r="H503" s="32"/>
      <c r="I503" s="32">
        <v>0</v>
      </c>
      <c r="J503" s="32"/>
      <c r="K503" s="32"/>
      <c r="L503" s="32"/>
      <c r="M503" s="32">
        <v>0</v>
      </c>
      <c r="O503" s="109"/>
    </row>
    <row r="504" spans="1:15" s="5" customFormat="1" ht="12">
      <c r="A504" s="30">
        <f>(A503+1)</f>
        <v>3</v>
      </c>
      <c r="C504" s="27" t="s">
        <v>253</v>
      </c>
      <c r="E504" s="30">
        <f>(E503+1)</f>
        <v>3</v>
      </c>
      <c r="F504" s="27"/>
      <c r="G504" s="27"/>
      <c r="H504" s="32">
        <v>0</v>
      </c>
      <c r="I504" s="32">
        <v>0</v>
      </c>
      <c r="J504" s="32"/>
      <c r="K504" s="32"/>
      <c r="L504" s="32"/>
      <c r="M504" s="32">
        <v>0</v>
      </c>
      <c r="O504" s="109"/>
    </row>
    <row r="505" spans="1:15" s="5" customFormat="1" ht="12">
      <c r="A505" s="30">
        <f>(A504+1)</f>
        <v>4</v>
      </c>
      <c r="C505" s="27" t="s">
        <v>254</v>
      </c>
      <c r="E505" s="30">
        <f>(E504+1)</f>
        <v>4</v>
      </c>
      <c r="F505" s="27"/>
      <c r="G505" s="27"/>
      <c r="H505" s="32">
        <v>0</v>
      </c>
      <c r="I505" s="32"/>
      <c r="J505" s="32"/>
      <c r="K505" s="32"/>
      <c r="L505" s="32"/>
      <c r="M505" s="32"/>
      <c r="O505" s="109"/>
    </row>
    <row r="506" spans="1:15" s="5" customFormat="1" ht="12">
      <c r="A506" s="30"/>
      <c r="C506" s="27"/>
      <c r="E506" s="30"/>
      <c r="F506" s="24" t="s">
        <v>1</v>
      </c>
      <c r="G506" s="24"/>
      <c r="H506" s="24"/>
      <c r="I506" s="19"/>
      <c r="J506" s="24"/>
      <c r="K506" s="24"/>
      <c r="L506" s="16"/>
      <c r="M506" s="19"/>
      <c r="O506" s="109"/>
    </row>
    <row r="507" spans="1:15" s="5" customFormat="1" ht="12">
      <c r="A507" s="30">
        <v>9</v>
      </c>
      <c r="C507" s="5" t="s">
        <v>223</v>
      </c>
      <c r="E507" s="30">
        <v>9</v>
      </c>
      <c r="F507" s="27"/>
      <c r="G507" s="27"/>
      <c r="H507" s="32">
        <f>SUM(H503:H504)</f>
        <v>0</v>
      </c>
      <c r="I507" s="32">
        <f>SUM(I503:I504)</f>
        <v>0</v>
      </c>
      <c r="J507" s="32"/>
      <c r="K507" s="32"/>
      <c r="L507" s="32"/>
      <c r="M507" s="32">
        <f>SUM(M503:M504)</f>
        <v>0</v>
      </c>
      <c r="O507" s="109"/>
    </row>
    <row r="508" spans="1:15" s="5" customFormat="1" ht="12">
      <c r="A508" s="30"/>
      <c r="E508" s="30"/>
      <c r="F508" s="27"/>
      <c r="G508" s="27"/>
      <c r="H508" s="32"/>
      <c r="I508" s="32"/>
      <c r="J508" s="32"/>
      <c r="K508" s="32"/>
      <c r="L508" s="32"/>
      <c r="M508" s="32"/>
      <c r="O508" s="109"/>
    </row>
    <row r="509" spans="1:15" s="5" customFormat="1" ht="12">
      <c r="A509" s="30"/>
      <c r="E509" s="30"/>
      <c r="F509" s="27"/>
      <c r="G509" s="27"/>
      <c r="H509" s="32"/>
      <c r="I509" s="32"/>
      <c r="J509" s="32"/>
      <c r="K509" s="32"/>
      <c r="L509" s="32"/>
      <c r="M509" s="32"/>
      <c r="O509" s="109"/>
    </row>
    <row r="510" spans="1:15" s="5" customFormat="1" ht="12">
      <c r="A510" s="30"/>
      <c r="E510" s="30"/>
      <c r="F510" s="27"/>
      <c r="G510" s="27"/>
      <c r="H510" s="32"/>
      <c r="I510" s="32"/>
      <c r="J510" s="32"/>
      <c r="K510" s="32"/>
      <c r="L510" s="32"/>
      <c r="M510" s="32"/>
      <c r="O510" s="109"/>
    </row>
    <row r="511" spans="1:15" s="5" customFormat="1" ht="12">
      <c r="A511" s="30"/>
      <c r="E511" s="30"/>
      <c r="F511" s="27"/>
      <c r="G511" s="27"/>
      <c r="H511" s="32"/>
      <c r="I511" s="32"/>
      <c r="J511" s="32"/>
      <c r="K511" s="32"/>
      <c r="L511" s="32"/>
      <c r="M511" s="32"/>
      <c r="O511" s="109"/>
    </row>
    <row r="512" spans="1:15" s="5" customFormat="1" ht="12">
      <c r="A512" s="30"/>
      <c r="E512" s="30"/>
      <c r="F512" s="27"/>
      <c r="G512" s="27"/>
      <c r="H512" s="32"/>
      <c r="I512" s="32"/>
      <c r="J512" s="32"/>
      <c r="K512" s="32"/>
      <c r="L512" s="32"/>
      <c r="M512" s="32"/>
      <c r="O512" s="109"/>
    </row>
    <row r="513" spans="1:15" s="5" customFormat="1" ht="12">
      <c r="A513" s="30"/>
      <c r="E513" s="30"/>
      <c r="F513" s="27"/>
      <c r="G513" s="27"/>
      <c r="H513" s="32"/>
      <c r="I513" s="32"/>
      <c r="J513" s="32"/>
      <c r="K513" s="32"/>
      <c r="L513" s="32"/>
      <c r="M513" s="32"/>
      <c r="O513" s="109"/>
    </row>
    <row r="514" spans="1:15" s="5" customFormat="1" ht="12">
      <c r="A514" s="30"/>
      <c r="E514" s="30"/>
      <c r="F514" s="27"/>
      <c r="G514" s="27"/>
      <c r="H514" s="32"/>
      <c r="I514" s="32"/>
      <c r="J514" s="32"/>
      <c r="K514" s="32"/>
      <c r="L514" s="32"/>
      <c r="M514" s="32"/>
      <c r="O514" s="109"/>
    </row>
    <row r="515" spans="1:15" s="5" customFormat="1" ht="12">
      <c r="A515" s="30"/>
      <c r="E515" s="30"/>
      <c r="F515" s="27"/>
      <c r="G515" s="27"/>
      <c r="H515" s="32"/>
      <c r="I515" s="32"/>
      <c r="J515" s="32"/>
      <c r="K515" s="32"/>
      <c r="L515" s="32"/>
      <c r="M515" s="32"/>
      <c r="O515" s="109"/>
    </row>
    <row r="516" spans="1:15" s="5" customFormat="1" ht="12">
      <c r="A516" s="30"/>
      <c r="E516" s="30"/>
      <c r="F516" s="27"/>
      <c r="G516" s="27"/>
      <c r="H516" s="32"/>
      <c r="I516" s="32"/>
      <c r="J516" s="32"/>
      <c r="K516" s="32"/>
      <c r="L516" s="32"/>
      <c r="M516" s="32"/>
      <c r="O516" s="109"/>
    </row>
    <row r="517" spans="1:15" s="5" customFormat="1" ht="12">
      <c r="A517" s="30"/>
      <c r="E517" s="30"/>
      <c r="F517" s="27"/>
      <c r="G517" s="27"/>
      <c r="H517" s="32"/>
      <c r="I517" s="32"/>
      <c r="J517" s="32"/>
      <c r="K517" s="32"/>
      <c r="L517" s="32"/>
      <c r="M517" s="32"/>
      <c r="O517" s="109"/>
    </row>
    <row r="518" spans="1:15" s="5" customFormat="1" ht="12">
      <c r="A518" s="30"/>
      <c r="E518" s="30"/>
      <c r="F518" s="27"/>
      <c r="G518" s="27"/>
      <c r="H518" s="32"/>
      <c r="I518" s="32"/>
      <c r="J518" s="32"/>
      <c r="K518" s="32"/>
      <c r="L518" s="32"/>
      <c r="M518" s="32"/>
      <c r="O518" s="109"/>
    </row>
    <row r="519" spans="1:15" s="5" customFormat="1" ht="12">
      <c r="A519" s="30"/>
      <c r="E519" s="30"/>
      <c r="F519" s="27"/>
      <c r="G519" s="27"/>
      <c r="H519" s="32"/>
      <c r="I519" s="32"/>
      <c r="J519" s="32"/>
      <c r="K519" s="32"/>
      <c r="L519" s="32"/>
      <c r="M519" s="32"/>
      <c r="O519" s="109"/>
    </row>
    <row r="520" spans="1:15" s="5" customFormat="1" ht="12">
      <c r="A520" s="30"/>
      <c r="E520" s="30"/>
      <c r="F520" s="27"/>
      <c r="G520" s="27"/>
      <c r="H520" s="32"/>
      <c r="I520" s="32"/>
      <c r="J520" s="32"/>
      <c r="K520" s="32"/>
      <c r="L520" s="32"/>
      <c r="M520" s="32"/>
      <c r="O520" s="109"/>
    </row>
    <row r="521" spans="1:15" s="5" customFormat="1" ht="12">
      <c r="A521" s="30"/>
      <c r="E521" s="30"/>
      <c r="F521" s="27"/>
      <c r="G521" s="27"/>
      <c r="H521" s="32"/>
      <c r="I521" s="32"/>
      <c r="J521" s="32"/>
      <c r="K521" s="32"/>
      <c r="L521" s="32"/>
      <c r="M521" s="32"/>
      <c r="O521" s="109"/>
    </row>
    <row r="522" spans="1:15" s="5" customFormat="1" ht="12">
      <c r="A522" s="30"/>
      <c r="E522" s="30"/>
      <c r="F522" s="27"/>
      <c r="G522" s="27"/>
      <c r="H522" s="32"/>
      <c r="I522" s="32"/>
      <c r="J522" s="32"/>
      <c r="K522" s="32"/>
      <c r="L522" s="32"/>
      <c r="M522" s="32"/>
      <c r="O522" s="109"/>
    </row>
    <row r="523" spans="1:15" s="5" customFormat="1" ht="12">
      <c r="A523" s="30"/>
      <c r="E523" s="30"/>
      <c r="F523" s="27"/>
      <c r="G523" s="27"/>
      <c r="H523" s="32"/>
      <c r="I523" s="32"/>
      <c r="J523" s="32"/>
      <c r="K523" s="32"/>
      <c r="L523" s="32"/>
      <c r="M523" s="32"/>
      <c r="O523" s="109"/>
    </row>
    <row r="524" spans="1:15" s="5" customFormat="1" ht="12">
      <c r="A524" s="30"/>
      <c r="E524" s="30"/>
      <c r="F524" s="27"/>
      <c r="G524" s="27"/>
      <c r="H524" s="32"/>
      <c r="I524" s="32"/>
      <c r="J524" s="32"/>
      <c r="K524" s="32"/>
      <c r="L524" s="32"/>
      <c r="M524" s="32"/>
      <c r="O524" s="109"/>
    </row>
    <row r="525" spans="1:15" s="5" customFormat="1" ht="12">
      <c r="A525" s="30"/>
      <c r="E525" s="30"/>
      <c r="F525" s="27"/>
      <c r="G525" s="27"/>
      <c r="H525" s="32"/>
      <c r="I525" s="32"/>
      <c r="J525" s="32"/>
      <c r="K525" s="32"/>
      <c r="L525" s="32"/>
      <c r="M525" s="32"/>
      <c r="O525" s="109"/>
    </row>
    <row r="526" spans="1:15" s="5" customFormat="1" ht="12">
      <c r="A526" s="30"/>
      <c r="E526" s="30"/>
      <c r="F526" s="27"/>
      <c r="G526" s="27"/>
      <c r="H526" s="32"/>
      <c r="I526" s="32"/>
      <c r="J526" s="32"/>
      <c r="K526" s="32"/>
      <c r="L526" s="32"/>
      <c r="M526" s="32"/>
      <c r="O526" s="109"/>
    </row>
    <row r="527" spans="1:15" s="5" customFormat="1" ht="12">
      <c r="A527" s="68" t="str">
        <f>+A82</f>
        <v>Institution No.:  GFE </v>
      </c>
      <c r="E527" s="38"/>
      <c r="G527" s="71"/>
      <c r="H527" s="86"/>
      <c r="I527" s="71"/>
      <c r="J527" s="189"/>
      <c r="K527" s="189"/>
      <c r="L527" s="71"/>
      <c r="M527" s="189" t="s">
        <v>89</v>
      </c>
      <c r="O527" s="109"/>
    </row>
    <row r="528" spans="1:15" s="5" customFormat="1" ht="12">
      <c r="A528" s="243" t="s">
        <v>242</v>
      </c>
      <c r="B528" s="243"/>
      <c r="C528" s="243"/>
      <c r="D528" s="243"/>
      <c r="E528" s="244"/>
      <c r="F528" s="243"/>
      <c r="G528" s="245"/>
      <c r="H528" s="246"/>
      <c r="I528" s="245"/>
      <c r="J528" s="246"/>
      <c r="K528" s="246"/>
      <c r="L528" s="245"/>
      <c r="M528" s="246"/>
      <c r="O528" s="109"/>
    </row>
    <row r="529" spans="1:15" s="5" customFormat="1" ht="12">
      <c r="A529" s="68" t="str">
        <f>+A84</f>
        <v>NAME:  University of Colorado - HSC</v>
      </c>
      <c r="H529" s="86"/>
      <c r="I529" s="71"/>
      <c r="J529" s="190"/>
      <c r="K529" s="190"/>
      <c r="L529" s="71"/>
      <c r="M529" s="228" t="str">
        <f>+M84</f>
        <v>Date:  10-07</v>
      </c>
      <c r="O529" s="109"/>
    </row>
    <row r="530" spans="1:15" s="5" customFormat="1" ht="12">
      <c r="A530" s="15" t="s">
        <v>1</v>
      </c>
      <c r="B530" s="15" t="s">
        <v>1</v>
      </c>
      <c r="C530" s="15" t="s">
        <v>1</v>
      </c>
      <c r="D530" s="15" t="s">
        <v>1</v>
      </c>
      <c r="E530" s="15" t="s">
        <v>1</v>
      </c>
      <c r="F530" s="15" t="s">
        <v>1</v>
      </c>
      <c r="G530" s="15" t="s">
        <v>1</v>
      </c>
      <c r="H530" s="15" t="s">
        <v>1</v>
      </c>
      <c r="I530" s="15" t="s">
        <v>1</v>
      </c>
      <c r="J530" s="15" t="s">
        <v>1</v>
      </c>
      <c r="K530" s="15"/>
      <c r="L530" s="15" t="s">
        <v>1</v>
      </c>
      <c r="M530" s="15" t="s">
        <v>1</v>
      </c>
      <c r="O530" s="109"/>
    </row>
    <row r="531" spans="1:15" s="5" customFormat="1" ht="12">
      <c r="A531" s="73" t="s">
        <v>2</v>
      </c>
      <c r="E531" s="73" t="s">
        <v>2</v>
      </c>
      <c r="G531" s="89"/>
      <c r="H531" s="123" t="str">
        <f>$H$86</f>
        <v>2005-06</v>
      </c>
      <c r="I531" s="89"/>
      <c r="J531" s="123" t="str">
        <f>$J$86</f>
        <v>2006-07</v>
      </c>
      <c r="K531" s="123"/>
      <c r="L531" s="89"/>
      <c r="M531" s="123" t="str">
        <f>$M$86</f>
        <v>2007-08</v>
      </c>
      <c r="O531" s="109"/>
    </row>
    <row r="532" spans="1:15" s="5" customFormat="1" ht="12">
      <c r="A532" s="73" t="s">
        <v>4</v>
      </c>
      <c r="C532" s="74" t="s">
        <v>20</v>
      </c>
      <c r="E532" s="73" t="s">
        <v>4</v>
      </c>
      <c r="G532" s="71"/>
      <c r="H532" s="123" t="str">
        <f>$H$87</f>
        <v>Actual</v>
      </c>
      <c r="I532" s="71"/>
      <c r="J532" s="123" t="str">
        <f>$J$87</f>
        <v>Actual</v>
      </c>
      <c r="K532" s="123"/>
      <c r="L532" s="71"/>
      <c r="M532" s="123" t="str">
        <f>$M$87</f>
        <v>Estimate</v>
      </c>
      <c r="O532" s="109"/>
    </row>
    <row r="533" spans="1:15" s="5" customFormat="1" ht="12">
      <c r="A533" s="15" t="s">
        <v>1</v>
      </c>
      <c r="B533" s="15" t="s">
        <v>1</v>
      </c>
      <c r="C533" s="15" t="s">
        <v>1</v>
      </c>
      <c r="D533" s="15" t="s">
        <v>1</v>
      </c>
      <c r="E533" s="15" t="s">
        <v>1</v>
      </c>
      <c r="F533" s="15" t="s">
        <v>1</v>
      </c>
      <c r="G533" s="15" t="s">
        <v>1</v>
      </c>
      <c r="H533" s="15" t="s">
        <v>1</v>
      </c>
      <c r="I533" s="15" t="s">
        <v>1</v>
      </c>
      <c r="J533" s="176" t="s">
        <v>1</v>
      </c>
      <c r="K533" s="176"/>
      <c r="L533" s="15" t="s">
        <v>1</v>
      </c>
      <c r="M533" s="176" t="s">
        <v>1</v>
      </c>
      <c r="O533" s="109"/>
    </row>
    <row r="534" spans="1:15" s="5" customFormat="1" ht="12">
      <c r="A534" s="107">
        <v>1</v>
      </c>
      <c r="C534" s="4" t="s">
        <v>90</v>
      </c>
      <c r="E534" s="107">
        <v>1</v>
      </c>
      <c r="F534" s="27"/>
      <c r="G534" s="180"/>
      <c r="H534" s="192"/>
      <c r="I534" s="180"/>
      <c r="J534" s="192"/>
      <c r="K534" s="192"/>
      <c r="L534" s="180"/>
      <c r="M534" s="192"/>
      <c r="O534" s="109"/>
    </row>
    <row r="535" spans="1:15" s="5" customFormat="1" ht="12">
      <c r="A535" s="107">
        <f aca="true" t="shared" si="12" ref="A535:A557">(A534+1)</f>
        <v>2</v>
      </c>
      <c r="C535" s="5" t="s">
        <v>283</v>
      </c>
      <c r="E535" s="107">
        <f aca="true" t="shared" si="13" ref="E535:E557">(E534+1)</f>
        <v>2</v>
      </c>
      <c r="F535" s="27"/>
      <c r="G535" s="180"/>
      <c r="H535" s="179"/>
      <c r="I535" s="180"/>
      <c r="J535" s="192">
        <v>1248032</v>
      </c>
      <c r="K535" s="192"/>
      <c r="L535" s="179"/>
      <c r="M535" s="86">
        <v>1184033</v>
      </c>
      <c r="O535" s="109"/>
    </row>
    <row r="536" spans="1:15" s="5" customFormat="1" ht="12">
      <c r="A536" s="107">
        <f t="shared" si="12"/>
        <v>3</v>
      </c>
      <c r="C536" s="4" t="s">
        <v>509</v>
      </c>
      <c r="E536" s="107">
        <f t="shared" si="13"/>
        <v>3</v>
      </c>
      <c r="F536" s="27"/>
      <c r="G536" s="180"/>
      <c r="H536" s="179"/>
      <c r="I536" s="180"/>
      <c r="L536" s="180"/>
      <c r="O536" s="109"/>
    </row>
    <row r="537" spans="1:15" s="5" customFormat="1" ht="12">
      <c r="A537" s="107">
        <f t="shared" si="12"/>
        <v>4</v>
      </c>
      <c r="C537" s="4" t="s">
        <v>510</v>
      </c>
      <c r="E537" s="107">
        <f t="shared" si="13"/>
        <v>4</v>
      </c>
      <c r="F537" s="27"/>
      <c r="G537" s="180"/>
      <c r="H537" s="179"/>
      <c r="I537" s="180"/>
      <c r="J537" s="109"/>
      <c r="K537" s="109"/>
      <c r="L537" s="180"/>
      <c r="M537" s="109">
        <v>0</v>
      </c>
      <c r="O537" s="109"/>
    </row>
    <row r="538" spans="1:15" s="5" customFormat="1" ht="12">
      <c r="A538" s="107">
        <f t="shared" si="12"/>
        <v>5</v>
      </c>
      <c r="C538" s="27" t="s">
        <v>511</v>
      </c>
      <c r="E538" s="107">
        <f t="shared" si="13"/>
        <v>5</v>
      </c>
      <c r="F538" s="27"/>
      <c r="G538" s="180"/>
      <c r="H538" s="179"/>
      <c r="I538" s="180"/>
      <c r="L538" s="180"/>
      <c r="M538" s="192">
        <v>8553701</v>
      </c>
      <c r="O538" s="109"/>
    </row>
    <row r="539" spans="1:15" s="5" customFormat="1" ht="12">
      <c r="A539" s="107">
        <f t="shared" si="12"/>
        <v>6</v>
      </c>
      <c r="C539" s="27"/>
      <c r="E539" s="107">
        <f t="shared" si="13"/>
        <v>6</v>
      </c>
      <c r="F539" s="27"/>
      <c r="G539" s="180"/>
      <c r="H539" s="179"/>
      <c r="I539" s="180"/>
      <c r="L539" s="180"/>
      <c r="O539" s="109"/>
    </row>
    <row r="540" spans="1:15" s="5" customFormat="1" ht="12">
      <c r="A540" s="107">
        <f t="shared" si="12"/>
        <v>7</v>
      </c>
      <c r="C540" s="4" t="s">
        <v>91</v>
      </c>
      <c r="E540" s="107">
        <f t="shared" si="13"/>
        <v>7</v>
      </c>
      <c r="F540" s="27"/>
      <c r="G540" s="180"/>
      <c r="H540" s="179"/>
      <c r="I540" s="180"/>
      <c r="L540" s="180"/>
      <c r="O540" s="109"/>
    </row>
    <row r="541" spans="1:15" s="5" customFormat="1" ht="12">
      <c r="A541" s="107">
        <f t="shared" si="12"/>
        <v>8</v>
      </c>
      <c r="E541" s="107">
        <f t="shared" si="13"/>
        <v>8</v>
      </c>
      <c r="F541" s="27"/>
      <c r="G541" s="180"/>
      <c r="H541" s="179"/>
      <c r="I541" s="180"/>
      <c r="L541" s="180"/>
      <c r="O541" s="109"/>
    </row>
    <row r="542" spans="1:15" s="5" customFormat="1" ht="12">
      <c r="A542" s="107">
        <f t="shared" si="12"/>
        <v>9</v>
      </c>
      <c r="C542" s="27"/>
      <c r="E542" s="107">
        <f t="shared" si="13"/>
        <v>9</v>
      </c>
      <c r="F542" s="27"/>
      <c r="G542" s="180"/>
      <c r="H542" s="179"/>
      <c r="I542" s="180"/>
      <c r="L542" s="180"/>
      <c r="O542" s="109"/>
    </row>
    <row r="543" spans="1:15" s="5" customFormat="1" ht="12">
      <c r="A543" s="107">
        <f t="shared" si="12"/>
        <v>10</v>
      </c>
      <c r="E543" s="107">
        <f t="shared" si="13"/>
        <v>10</v>
      </c>
      <c r="F543" s="27"/>
      <c r="G543" s="180"/>
      <c r="H543" s="179"/>
      <c r="I543" s="180"/>
      <c r="L543" s="180"/>
      <c r="O543" s="109"/>
    </row>
    <row r="544" spans="1:15" s="5" customFormat="1" ht="12">
      <c r="A544" s="107">
        <f t="shared" si="12"/>
        <v>11</v>
      </c>
      <c r="E544" s="107">
        <f t="shared" si="13"/>
        <v>11</v>
      </c>
      <c r="F544" s="27"/>
      <c r="G544" s="180"/>
      <c r="H544" s="179"/>
      <c r="I544" s="180"/>
      <c r="L544" s="180"/>
      <c r="O544" s="109"/>
    </row>
    <row r="545" spans="1:15" s="5" customFormat="1" ht="12">
      <c r="A545" s="107">
        <f t="shared" si="12"/>
        <v>12</v>
      </c>
      <c r="E545" s="107">
        <f t="shared" si="13"/>
        <v>12</v>
      </c>
      <c r="F545" s="27"/>
      <c r="G545" s="180"/>
      <c r="H545" s="179"/>
      <c r="I545" s="180"/>
      <c r="L545" s="180"/>
      <c r="O545" s="109"/>
    </row>
    <row r="546" spans="1:15" s="5" customFormat="1" ht="12">
      <c r="A546" s="107">
        <f t="shared" si="12"/>
        <v>13</v>
      </c>
      <c r="C546" s="27"/>
      <c r="E546" s="107">
        <f t="shared" si="13"/>
        <v>13</v>
      </c>
      <c r="F546" s="27"/>
      <c r="G546" s="180"/>
      <c r="H546" s="179"/>
      <c r="I546" s="180"/>
      <c r="L546" s="180"/>
      <c r="O546" s="109"/>
    </row>
    <row r="547" spans="1:15" s="5" customFormat="1" ht="12">
      <c r="A547" s="107">
        <f t="shared" si="12"/>
        <v>14</v>
      </c>
      <c r="C547" s="27" t="s">
        <v>512</v>
      </c>
      <c r="E547" s="107">
        <f t="shared" si="13"/>
        <v>14</v>
      </c>
      <c r="F547" s="27"/>
      <c r="G547" s="180"/>
      <c r="H547" s="179"/>
      <c r="I547" s="180"/>
      <c r="L547" s="180"/>
      <c r="O547" s="109"/>
    </row>
    <row r="548" spans="1:15" s="5" customFormat="1" ht="12">
      <c r="A548" s="107">
        <f t="shared" si="12"/>
        <v>15</v>
      </c>
      <c r="C548" s="193"/>
      <c r="E548" s="107">
        <f t="shared" si="13"/>
        <v>15</v>
      </c>
      <c r="F548" s="27"/>
      <c r="G548" s="180"/>
      <c r="H548" s="179"/>
      <c r="I548" s="180"/>
      <c r="L548" s="180"/>
      <c r="O548" s="109"/>
    </row>
    <row r="549" spans="1:15" s="5" customFormat="1" ht="12">
      <c r="A549" s="107">
        <f t="shared" si="12"/>
        <v>16</v>
      </c>
      <c r="C549" s="247"/>
      <c r="E549" s="107">
        <f t="shared" si="13"/>
        <v>16</v>
      </c>
      <c r="F549" s="27"/>
      <c r="G549" s="180"/>
      <c r="H549" s="179"/>
      <c r="I549" s="180"/>
      <c r="J549" s="179"/>
      <c r="K549" s="179"/>
      <c r="L549" s="180"/>
      <c r="M549" s="179"/>
      <c r="O549" s="109"/>
    </row>
    <row r="550" spans="1:15" s="5" customFormat="1" ht="12">
      <c r="A550" s="107">
        <f t="shared" si="12"/>
        <v>17</v>
      </c>
      <c r="C550" s="193"/>
      <c r="E550" s="107">
        <f t="shared" si="13"/>
        <v>17</v>
      </c>
      <c r="F550" s="27"/>
      <c r="G550" s="180"/>
      <c r="H550" s="179"/>
      <c r="I550" s="180"/>
      <c r="J550" s="179"/>
      <c r="K550" s="179"/>
      <c r="L550" s="180"/>
      <c r="M550" s="179"/>
      <c r="O550" s="109"/>
    </row>
    <row r="551" spans="1:15" s="5" customFormat="1" ht="12">
      <c r="A551" s="107">
        <f t="shared" si="12"/>
        <v>18</v>
      </c>
      <c r="C551" s="247"/>
      <c r="E551" s="107">
        <f t="shared" si="13"/>
        <v>18</v>
      </c>
      <c r="F551" s="27"/>
      <c r="G551" s="180"/>
      <c r="H551" s="179"/>
      <c r="I551" s="180"/>
      <c r="J551" s="179"/>
      <c r="K551" s="179"/>
      <c r="L551" s="180"/>
      <c r="M551" s="179"/>
      <c r="O551" s="109"/>
    </row>
    <row r="552" spans="1:15" s="5" customFormat="1" ht="12">
      <c r="A552" s="107">
        <f t="shared" si="12"/>
        <v>19</v>
      </c>
      <c r="C552" s="247"/>
      <c r="E552" s="107">
        <f t="shared" si="13"/>
        <v>19</v>
      </c>
      <c r="F552" s="27"/>
      <c r="G552" s="180"/>
      <c r="H552" s="179"/>
      <c r="I552" s="180"/>
      <c r="J552" s="179"/>
      <c r="K552" s="179"/>
      <c r="L552" s="180"/>
      <c r="M552" s="179"/>
      <c r="O552" s="109"/>
    </row>
    <row r="553" spans="1:15" s="5" customFormat="1" ht="12">
      <c r="A553" s="107">
        <f t="shared" si="12"/>
        <v>20</v>
      </c>
      <c r="C553" s="247"/>
      <c r="E553" s="107">
        <f t="shared" si="13"/>
        <v>20</v>
      </c>
      <c r="F553" s="27"/>
      <c r="G553" s="180"/>
      <c r="H553" s="179"/>
      <c r="I553" s="180"/>
      <c r="J553" s="179"/>
      <c r="K553" s="179"/>
      <c r="L553" s="180"/>
      <c r="M553" s="179"/>
      <c r="O553" s="109"/>
    </row>
    <row r="554" spans="1:15" s="5" customFormat="1" ht="12">
      <c r="A554" s="107">
        <f t="shared" si="12"/>
        <v>21</v>
      </c>
      <c r="C554" s="247"/>
      <c r="E554" s="107">
        <f t="shared" si="13"/>
        <v>21</v>
      </c>
      <c r="F554" s="27"/>
      <c r="G554" s="180"/>
      <c r="H554" s="179"/>
      <c r="I554" s="180"/>
      <c r="J554" s="179"/>
      <c r="K554" s="179"/>
      <c r="L554" s="180"/>
      <c r="M554" s="179"/>
      <c r="O554" s="109"/>
    </row>
    <row r="555" spans="1:15" s="5" customFormat="1" ht="12">
      <c r="A555" s="107">
        <f t="shared" si="12"/>
        <v>22</v>
      </c>
      <c r="C555" s="247"/>
      <c r="E555" s="107">
        <f t="shared" si="13"/>
        <v>22</v>
      </c>
      <c r="F555" s="27"/>
      <c r="G555" s="180"/>
      <c r="H555" s="179"/>
      <c r="I555" s="180"/>
      <c r="J555" s="179"/>
      <c r="K555" s="179"/>
      <c r="L555" s="180"/>
      <c r="M555" s="179"/>
      <c r="O555" s="109"/>
    </row>
    <row r="556" spans="1:15" s="5" customFormat="1" ht="12">
      <c r="A556" s="107">
        <f t="shared" si="12"/>
        <v>23</v>
      </c>
      <c r="C556" s="27"/>
      <c r="E556" s="107">
        <f t="shared" si="13"/>
        <v>23</v>
      </c>
      <c r="F556" s="27"/>
      <c r="G556" s="180"/>
      <c r="H556" s="179"/>
      <c r="I556" s="180"/>
      <c r="J556" s="179"/>
      <c r="K556" s="179"/>
      <c r="L556" s="180"/>
      <c r="M556" s="179"/>
      <c r="O556" s="109"/>
    </row>
    <row r="557" spans="1:15" s="5" customFormat="1" ht="12">
      <c r="A557" s="107">
        <f t="shared" si="12"/>
        <v>24</v>
      </c>
      <c r="C557" s="27"/>
      <c r="E557" s="107">
        <f t="shared" si="13"/>
        <v>24</v>
      </c>
      <c r="F557" s="27"/>
      <c r="G557" s="180"/>
      <c r="H557" s="179"/>
      <c r="I557" s="180"/>
      <c r="J557" s="179"/>
      <c r="K557" s="179"/>
      <c r="L557" s="180"/>
      <c r="M557" s="179"/>
      <c r="O557" s="109"/>
    </row>
    <row r="558" spans="1:15" s="5" customFormat="1" ht="12">
      <c r="A558" s="108"/>
      <c r="E558" s="108"/>
      <c r="F558" s="24" t="s">
        <v>1</v>
      </c>
      <c r="G558" s="24" t="s">
        <v>1</v>
      </c>
      <c r="H558" s="24"/>
      <c r="I558" s="24" t="s">
        <v>1</v>
      </c>
      <c r="J558" s="24" t="s">
        <v>1</v>
      </c>
      <c r="K558" s="24"/>
      <c r="L558" s="24" t="s">
        <v>1</v>
      </c>
      <c r="M558" s="24" t="s">
        <v>1</v>
      </c>
      <c r="O558" s="109"/>
    </row>
    <row r="559" spans="1:15" s="5" customFormat="1" ht="12">
      <c r="A559" s="107">
        <f>(A557+1)</f>
        <v>25</v>
      </c>
      <c r="C559" s="4" t="s">
        <v>197</v>
      </c>
      <c r="E559" s="107">
        <f>(E557+1)</f>
        <v>25</v>
      </c>
      <c r="G559" s="89"/>
      <c r="H559" s="86">
        <f>SUM(H534:H557)</f>
        <v>0</v>
      </c>
      <c r="I559" s="89"/>
      <c r="J559" s="86">
        <f>SUM(J534:J557)</f>
        <v>1248032</v>
      </c>
      <c r="K559" s="86"/>
      <c r="L559" s="89"/>
      <c r="M559" s="86">
        <f>SUM(M534:M557)</f>
        <v>9737734</v>
      </c>
      <c r="O559" s="109"/>
    </row>
    <row r="560" spans="1:15" s="5" customFormat="1" ht="12">
      <c r="A560" s="107"/>
      <c r="C560" s="4"/>
      <c r="E560" s="107"/>
      <c r="F560" s="24" t="s">
        <v>1</v>
      </c>
      <c r="G560" s="24" t="s">
        <v>1</v>
      </c>
      <c r="H560" s="24"/>
      <c r="I560" s="24" t="s">
        <v>1</v>
      </c>
      <c r="J560" s="24" t="s">
        <v>1</v>
      </c>
      <c r="K560" s="24"/>
      <c r="L560" s="24" t="s">
        <v>1</v>
      </c>
      <c r="M560" s="24" t="s">
        <v>1</v>
      </c>
      <c r="O560" s="109"/>
    </row>
    <row r="561" spans="5:15" s="5" customFormat="1" ht="12">
      <c r="E561" s="38"/>
      <c r="O561" s="109"/>
    </row>
    <row r="562" spans="5:15" s="5" customFormat="1" ht="12">
      <c r="E562" s="38"/>
      <c r="O562" s="109"/>
    </row>
    <row r="563" spans="1:15" s="5" customFormat="1" ht="12">
      <c r="A563" s="70" t="str">
        <f>+A527</f>
        <v>Institution No.:  GFE </v>
      </c>
      <c r="B563" s="21"/>
      <c r="C563" s="21"/>
      <c r="D563" s="21"/>
      <c r="E563" s="20"/>
      <c r="F563" s="21"/>
      <c r="G563" s="22"/>
      <c r="H563" s="23"/>
      <c r="I563" s="22"/>
      <c r="M563" s="173" t="s">
        <v>198</v>
      </c>
      <c r="O563" s="109"/>
    </row>
    <row r="564" spans="1:15" s="5" customFormat="1" ht="12">
      <c r="A564" s="423" t="s">
        <v>513</v>
      </c>
      <c r="B564" s="423"/>
      <c r="C564" s="423"/>
      <c r="D564" s="423"/>
      <c r="E564" s="423"/>
      <c r="F564" s="423"/>
      <c r="G564" s="423"/>
      <c r="H564" s="423"/>
      <c r="I564" s="423"/>
      <c r="J564" s="423"/>
      <c r="K564" s="82"/>
      <c r="O564" s="109"/>
    </row>
    <row r="565" spans="1:15" s="5" customFormat="1" ht="12">
      <c r="A565" s="70" t="str">
        <f>+A496</f>
        <v>NAME:  University of Colorado - HSC</v>
      </c>
      <c r="G565" s="48"/>
      <c r="H565" s="25"/>
      <c r="I565" s="6"/>
      <c r="M565" s="248" t="s">
        <v>514</v>
      </c>
      <c r="O565" s="109"/>
    </row>
    <row r="566" spans="1:15" s="5" customFormat="1" ht="12">
      <c r="A566" s="15" t="s">
        <v>1</v>
      </c>
      <c r="B566" s="15" t="s">
        <v>1</v>
      </c>
      <c r="C566" s="15" t="s">
        <v>1</v>
      </c>
      <c r="D566" s="15" t="s">
        <v>1</v>
      </c>
      <c r="E566" s="15" t="s">
        <v>1</v>
      </c>
      <c r="F566" s="15"/>
      <c r="G566" s="16" t="s">
        <v>1</v>
      </c>
      <c r="H566" s="19" t="s">
        <v>1</v>
      </c>
      <c r="I566" s="16" t="s">
        <v>1</v>
      </c>
      <c r="J566" s="19" t="s">
        <v>1</v>
      </c>
      <c r="K566" s="19"/>
      <c r="L566" s="19" t="s">
        <v>1</v>
      </c>
      <c r="M566" s="19" t="s">
        <v>1</v>
      </c>
      <c r="O566" s="109"/>
    </row>
    <row r="567" spans="1:15" s="5" customFormat="1" ht="12">
      <c r="A567" s="73" t="s">
        <v>2</v>
      </c>
      <c r="E567" s="73" t="s">
        <v>2</v>
      </c>
      <c r="F567" s="3"/>
      <c r="G567" s="2"/>
      <c r="H567" s="3"/>
      <c r="I567" s="2"/>
      <c r="J567" s="123" t="str">
        <f>$J$86</f>
        <v>2006-07</v>
      </c>
      <c r="K567" s="123"/>
      <c r="M567" s="123" t="str">
        <f>$M$86</f>
        <v>2007-08</v>
      </c>
      <c r="O567" s="109"/>
    </row>
    <row r="568" spans="1:15" s="5" customFormat="1" ht="12">
      <c r="A568" s="73" t="s">
        <v>4</v>
      </c>
      <c r="C568" s="74" t="s">
        <v>20</v>
      </c>
      <c r="E568" s="73" t="s">
        <v>4</v>
      </c>
      <c r="F568" s="3"/>
      <c r="G568" s="2"/>
      <c r="H568" s="3"/>
      <c r="I568" s="2"/>
      <c r="J568" s="123" t="s">
        <v>7</v>
      </c>
      <c r="K568" s="123"/>
      <c r="M568" s="123" t="s">
        <v>8</v>
      </c>
      <c r="O568" s="109"/>
    </row>
    <row r="569" spans="1:15" s="5" customFormat="1" ht="12">
      <c r="A569" s="15" t="s">
        <v>1</v>
      </c>
      <c r="B569" s="15" t="s">
        <v>1</v>
      </c>
      <c r="C569" s="15" t="s">
        <v>1</v>
      </c>
      <c r="D569" s="15" t="s">
        <v>1</v>
      </c>
      <c r="E569" s="15" t="s">
        <v>1</v>
      </c>
      <c r="F569" s="15"/>
      <c r="G569" s="16" t="s">
        <v>1</v>
      </c>
      <c r="H569" s="19" t="s">
        <v>1</v>
      </c>
      <c r="I569" s="16" t="s">
        <v>1</v>
      </c>
      <c r="J569" s="19" t="s">
        <v>1</v>
      </c>
      <c r="K569" s="19"/>
      <c r="L569" s="19" t="s">
        <v>1</v>
      </c>
      <c r="M569" s="19" t="s">
        <v>1</v>
      </c>
      <c r="O569" s="109"/>
    </row>
    <row r="570" spans="1:16" s="5" customFormat="1" ht="12">
      <c r="A570" s="5">
        <v>1</v>
      </c>
      <c r="C570" s="5" t="s">
        <v>222</v>
      </c>
      <c r="E570" s="5">
        <v>1</v>
      </c>
      <c r="G570" s="48"/>
      <c r="H570" s="17">
        <v>56523258</v>
      </c>
      <c r="I570" s="48"/>
      <c r="J570" s="109">
        <v>60171681</v>
      </c>
      <c r="K570" s="109"/>
      <c r="M570" s="109">
        <v>61368920</v>
      </c>
      <c r="O570" s="109"/>
      <c r="P570" s="113"/>
    </row>
    <row r="571" spans="1:15" s="5" customFormat="1" ht="12">
      <c r="A571" s="5">
        <v>2</v>
      </c>
      <c r="E571" s="38"/>
      <c r="M571" s="192"/>
      <c r="O571" s="109"/>
    </row>
    <row r="572" spans="5:15" s="5" customFormat="1" ht="12">
      <c r="E572" s="38"/>
      <c r="O572" s="109"/>
    </row>
    <row r="573" spans="5:15" s="5" customFormat="1" ht="12">
      <c r="E573" s="38"/>
      <c r="O573" s="109"/>
    </row>
    <row r="574" spans="5:15" s="5" customFormat="1" ht="12">
      <c r="E574" s="38"/>
      <c r="O574" s="109"/>
    </row>
    <row r="575" spans="5:15" s="5" customFormat="1" ht="12">
      <c r="E575" s="38"/>
      <c r="O575" s="109"/>
    </row>
    <row r="576" spans="5:15" s="5" customFormat="1" ht="12">
      <c r="E576" s="38"/>
      <c r="O576" s="109"/>
    </row>
    <row r="577" spans="5:15" s="5" customFormat="1" ht="12">
      <c r="E577" s="38"/>
      <c r="O577" s="109"/>
    </row>
    <row r="578" spans="5:15" s="5" customFormat="1" ht="12">
      <c r="E578" s="38"/>
      <c r="O578" s="109"/>
    </row>
    <row r="579" spans="5:15" s="5" customFormat="1" ht="12">
      <c r="E579" s="38"/>
      <c r="O579" s="109"/>
    </row>
    <row r="580" spans="5:15" s="5" customFormat="1" ht="12">
      <c r="E580" s="38"/>
      <c r="O580" s="109"/>
    </row>
    <row r="581" spans="5:15" s="5" customFormat="1" ht="12">
      <c r="E581" s="38"/>
      <c r="O581" s="109"/>
    </row>
    <row r="582" spans="5:15" s="5" customFormat="1" ht="12">
      <c r="E582" s="38"/>
      <c r="O582" s="109"/>
    </row>
    <row r="583" spans="5:15" s="5" customFormat="1" ht="12">
      <c r="E583" s="38"/>
      <c r="O583" s="109"/>
    </row>
    <row r="584" spans="5:15" s="5" customFormat="1" ht="12">
      <c r="E584" s="38"/>
      <c r="O584" s="109"/>
    </row>
    <row r="585" spans="5:15" s="5" customFormat="1" ht="12">
      <c r="E585" s="38"/>
      <c r="O585" s="109"/>
    </row>
    <row r="586" spans="5:15" s="5" customFormat="1" ht="12">
      <c r="E586" s="38"/>
      <c r="O586" s="109"/>
    </row>
    <row r="587" spans="5:15" s="5" customFormat="1" ht="12">
      <c r="E587" s="38"/>
      <c r="O587" s="109"/>
    </row>
    <row r="588" spans="5:15" s="5" customFormat="1" ht="12">
      <c r="E588" s="38"/>
      <c r="O588" s="109"/>
    </row>
    <row r="589" spans="5:15" s="5" customFormat="1" ht="12">
      <c r="E589" s="38"/>
      <c r="O589" s="109"/>
    </row>
    <row r="590" spans="5:15" s="5" customFormat="1" ht="12">
      <c r="E590" s="38"/>
      <c r="O590" s="109"/>
    </row>
    <row r="591" spans="5:15" s="5" customFormat="1" ht="12">
      <c r="E591" s="38"/>
      <c r="O591" s="109"/>
    </row>
    <row r="592" spans="5:15" s="5" customFormat="1" ht="12">
      <c r="E592" s="38"/>
      <c r="O592" s="109"/>
    </row>
    <row r="593" spans="5:15" s="5" customFormat="1" ht="12">
      <c r="E593" s="38"/>
      <c r="O593" s="109"/>
    </row>
    <row r="594" spans="5:15" s="5" customFormat="1" ht="12">
      <c r="E594" s="38"/>
      <c r="O594" s="109"/>
    </row>
    <row r="595" spans="5:15" s="5" customFormat="1" ht="12">
      <c r="E595" s="38"/>
      <c r="O595" s="109"/>
    </row>
    <row r="596" spans="5:15" s="5" customFormat="1" ht="12">
      <c r="E596" s="38"/>
      <c r="O596" s="109"/>
    </row>
    <row r="597" spans="5:15" s="5" customFormat="1" ht="12">
      <c r="E597" s="38"/>
      <c r="O597" s="109"/>
    </row>
    <row r="598" spans="5:15" s="5" customFormat="1" ht="12">
      <c r="E598" s="38"/>
      <c r="O598" s="109"/>
    </row>
    <row r="599" spans="5:15" s="5" customFormat="1" ht="12">
      <c r="E599" s="38"/>
      <c r="O599" s="109"/>
    </row>
    <row r="600" spans="5:15" s="5" customFormat="1" ht="12">
      <c r="E600" s="38"/>
      <c r="O600" s="109"/>
    </row>
    <row r="601" spans="5:15" s="5" customFormat="1" ht="12">
      <c r="E601" s="38"/>
      <c r="O601" s="109"/>
    </row>
    <row r="602" spans="5:15" s="5" customFormat="1" ht="12">
      <c r="E602" s="38"/>
      <c r="O602" s="109"/>
    </row>
    <row r="603" spans="1:15" s="5" customFormat="1" ht="12">
      <c r="A603" s="68" t="str">
        <f>+A82</f>
        <v>Institution No.:  GFE </v>
      </c>
      <c r="E603" s="38"/>
      <c r="G603" s="71"/>
      <c r="H603" s="86"/>
      <c r="I603" s="71"/>
      <c r="J603" s="189"/>
      <c r="K603" s="189"/>
      <c r="L603" s="71"/>
      <c r="M603" s="189" t="s">
        <v>22</v>
      </c>
      <c r="O603" s="109"/>
    </row>
    <row r="604" spans="1:15" s="5" customFormat="1" ht="12.75" customHeight="1">
      <c r="A604" s="428" t="s">
        <v>159</v>
      </c>
      <c r="B604" s="428"/>
      <c r="C604" s="428"/>
      <c r="D604" s="428"/>
      <c r="E604" s="428"/>
      <c r="F604" s="428"/>
      <c r="G604" s="428"/>
      <c r="H604" s="428"/>
      <c r="I604" s="428"/>
      <c r="J604" s="428"/>
      <c r="K604" s="73"/>
      <c r="O604" s="109"/>
    </row>
    <row r="605" spans="1:15" s="5" customFormat="1" ht="12">
      <c r="A605" s="68" t="str">
        <f>+A84</f>
        <v>NAME:  University of Colorado - HSC</v>
      </c>
      <c r="G605" s="7"/>
      <c r="H605" s="86"/>
      <c r="I605" s="71"/>
      <c r="J605" s="190"/>
      <c r="K605" s="190"/>
      <c r="L605" s="71"/>
      <c r="M605" s="228" t="str">
        <f>+M84</f>
        <v>Date:  10-07</v>
      </c>
      <c r="O605" s="109"/>
    </row>
    <row r="606" spans="1:15" s="5" customFormat="1" ht="12">
      <c r="A606" s="15" t="s">
        <v>1</v>
      </c>
      <c r="B606" s="15" t="s">
        <v>1</v>
      </c>
      <c r="C606" s="15" t="s">
        <v>1</v>
      </c>
      <c r="D606" s="15" t="s">
        <v>1</v>
      </c>
      <c r="E606" s="15" t="s">
        <v>1</v>
      </c>
      <c r="F606" s="15" t="s">
        <v>1</v>
      </c>
      <c r="G606" s="15" t="s">
        <v>1</v>
      </c>
      <c r="H606" s="15" t="s">
        <v>1</v>
      </c>
      <c r="I606" s="15" t="s">
        <v>1</v>
      </c>
      <c r="J606" s="15" t="s">
        <v>1</v>
      </c>
      <c r="K606" s="15"/>
      <c r="L606" s="15" t="s">
        <v>1</v>
      </c>
      <c r="M606" s="15" t="s">
        <v>1</v>
      </c>
      <c r="O606" s="109"/>
    </row>
    <row r="607" spans="1:15" s="5" customFormat="1" ht="12">
      <c r="A607" s="73" t="s">
        <v>2</v>
      </c>
      <c r="E607" s="73" t="s">
        <v>2</v>
      </c>
      <c r="F607" s="1"/>
      <c r="G607" s="123"/>
      <c r="H607" s="123" t="str">
        <f>$H$86</f>
        <v>2005-06</v>
      </c>
      <c r="I607" s="123"/>
      <c r="J607" s="123" t="str">
        <f>$J$86</f>
        <v>2006-07</v>
      </c>
      <c r="K607" s="123"/>
      <c r="L607" s="123"/>
      <c r="M607" s="123" t="str">
        <f>$M$86</f>
        <v>2007-08</v>
      </c>
      <c r="O607" s="109"/>
    </row>
    <row r="608" spans="1:15" s="5" customFormat="1" ht="12">
      <c r="A608" s="73" t="s">
        <v>4</v>
      </c>
      <c r="C608" s="74" t="s">
        <v>20</v>
      </c>
      <c r="E608" s="73" t="s">
        <v>4</v>
      </c>
      <c r="F608" s="1"/>
      <c r="G608" s="178" t="s">
        <v>21</v>
      </c>
      <c r="H608" s="123" t="s">
        <v>7</v>
      </c>
      <c r="I608" s="178" t="s">
        <v>21</v>
      </c>
      <c r="J608" s="123" t="s">
        <v>7</v>
      </c>
      <c r="K608" s="123"/>
      <c r="L608" s="178" t="s">
        <v>21</v>
      </c>
      <c r="M608" s="123" t="s">
        <v>8</v>
      </c>
      <c r="O608" s="109"/>
    </row>
    <row r="609" spans="1:15" s="5" customFormat="1" ht="12">
      <c r="A609" s="15" t="s">
        <v>1</v>
      </c>
      <c r="B609" s="15" t="s">
        <v>1</v>
      </c>
      <c r="C609" s="15" t="s">
        <v>1</v>
      </c>
      <c r="D609" s="15" t="s">
        <v>1</v>
      </c>
      <c r="E609" s="15" t="s">
        <v>1</v>
      </c>
      <c r="F609" s="15" t="s">
        <v>1</v>
      </c>
      <c r="G609" s="15" t="s">
        <v>1</v>
      </c>
      <c r="H609" s="15" t="s">
        <v>1</v>
      </c>
      <c r="I609" s="15" t="s">
        <v>1</v>
      </c>
      <c r="J609" s="176" t="s">
        <v>1</v>
      </c>
      <c r="K609" s="176"/>
      <c r="L609" s="15" t="s">
        <v>1</v>
      </c>
      <c r="M609" s="176" t="s">
        <v>1</v>
      </c>
      <c r="O609" s="109"/>
    </row>
    <row r="610" spans="1:15" s="5" customFormat="1" ht="12">
      <c r="A610" s="41">
        <v>1</v>
      </c>
      <c r="C610" s="4" t="s">
        <v>515</v>
      </c>
      <c r="E610" s="41">
        <v>1</v>
      </c>
      <c r="F610" s="27"/>
      <c r="G610" s="180">
        <v>274.2</v>
      </c>
      <c r="H610" s="179">
        <f>24940652+3155026+14400</f>
        <v>28110078</v>
      </c>
      <c r="I610" s="180">
        <f>J610/106105</f>
        <v>286.342113943735</v>
      </c>
      <c r="J610" s="179">
        <f>26387112+3987865+7353</f>
        <v>30382330</v>
      </c>
      <c r="K610" s="179"/>
      <c r="L610" s="180">
        <f>47.17+225.85+0.2+0.5+1.5+4+37.93+1.39+3.24</f>
        <v>321.78</v>
      </c>
      <c r="M610" s="179">
        <f>28520412+3340333+241871+283017</f>
        <v>32385633</v>
      </c>
      <c r="O610" s="109"/>
    </row>
    <row r="611" spans="1:15" s="5" customFormat="1" ht="12">
      <c r="A611" s="41">
        <f>A610+1</f>
        <v>2</v>
      </c>
      <c r="C611" s="4" t="s">
        <v>516</v>
      </c>
      <c r="E611" s="41">
        <f>A611</f>
        <v>2</v>
      </c>
      <c r="F611" s="27"/>
      <c r="G611" s="180"/>
      <c r="H611" s="179">
        <f>5879277+628623-611136</f>
        <v>5896764</v>
      </c>
      <c r="I611" s="180"/>
      <c r="J611" s="179">
        <f>5745136+847702</f>
        <v>6592838</v>
      </c>
      <c r="K611" s="179"/>
      <c r="L611" s="180"/>
      <c r="M611" s="179">
        <f>6810129+789884+28130+91848</f>
        <v>7719991</v>
      </c>
      <c r="O611" s="109"/>
    </row>
    <row r="612" spans="1:15" s="5" customFormat="1" ht="12">
      <c r="A612" s="41">
        <f>A611+1</f>
        <v>3</v>
      </c>
      <c r="C612" s="4" t="s">
        <v>517</v>
      </c>
      <c r="E612" s="41">
        <f>A612</f>
        <v>3</v>
      </c>
      <c r="F612" s="27"/>
      <c r="G612" s="180">
        <v>51.7</v>
      </c>
      <c r="H612" s="179">
        <f>882336+486614+76374+630396</f>
        <v>2075720</v>
      </c>
      <c r="I612" s="180">
        <f>J612/41564</f>
        <v>48.73585314214224</v>
      </c>
      <c r="J612" s="179">
        <f>895673+602612+85248+442124</f>
        <v>2025657</v>
      </c>
      <c r="K612" s="179"/>
      <c r="L612" s="180">
        <f>1.49+0.3+6+1.87+19.87</f>
        <v>29.53</v>
      </c>
      <c r="M612" s="179">
        <f>706675+368743+19539+170500</f>
        <v>1265457</v>
      </c>
      <c r="O612" s="109"/>
    </row>
    <row r="613" spans="1:15" s="5" customFormat="1" ht="12">
      <c r="A613" s="41">
        <f>A612+1</f>
        <v>4</v>
      </c>
      <c r="C613" s="4" t="s">
        <v>518</v>
      </c>
      <c r="E613" s="41">
        <f aca="true" t="shared" si="14" ref="E613:E633">A613</f>
        <v>4</v>
      </c>
      <c r="F613" s="27"/>
      <c r="G613" s="89">
        <f>SUM(G610:G612)</f>
        <v>325.9</v>
      </c>
      <c r="H613" s="86">
        <f>SUM(H610:H612)</f>
        <v>36082562</v>
      </c>
      <c r="I613" s="89">
        <f>SUM(I610:I612)</f>
        <v>335.0779670858772</v>
      </c>
      <c r="J613" s="86">
        <f>SUM(J610:J612)</f>
        <v>39000825</v>
      </c>
      <c r="K613" s="86"/>
      <c r="L613" s="89">
        <f>SUM(L610:L612)</f>
        <v>351.30999999999995</v>
      </c>
      <c r="M613" s="86">
        <f>SUM(M610:M612)</f>
        <v>41371081</v>
      </c>
      <c r="O613" s="109"/>
    </row>
    <row r="614" spans="1:15" s="5" customFormat="1" ht="12">
      <c r="A614" s="41">
        <f>A613+1</f>
        <v>5</v>
      </c>
      <c r="E614" s="41">
        <f t="shared" si="14"/>
        <v>5</v>
      </c>
      <c r="F614" s="27"/>
      <c r="G614" s="89"/>
      <c r="H614" s="86"/>
      <c r="I614" s="89"/>
      <c r="J614" s="86"/>
      <c r="K614" s="86"/>
      <c r="L614" s="89"/>
      <c r="M614" s="86"/>
      <c r="O614" s="109"/>
    </row>
    <row r="615" spans="1:15" s="5" customFormat="1" ht="12">
      <c r="A615" s="41">
        <f aca="true" t="shared" si="15" ref="A615:A633">A614+1</f>
        <v>6</v>
      </c>
      <c r="C615" s="4" t="s">
        <v>24</v>
      </c>
      <c r="E615" s="41">
        <f t="shared" si="14"/>
        <v>6</v>
      </c>
      <c r="F615" s="27"/>
      <c r="G615" s="180"/>
      <c r="H615" s="179"/>
      <c r="I615" s="180"/>
      <c r="J615" s="179"/>
      <c r="K615" s="179"/>
      <c r="L615" s="180"/>
      <c r="M615" s="179"/>
      <c r="O615" s="109"/>
    </row>
    <row r="616" spans="1:15" s="5" customFormat="1" ht="12">
      <c r="A616" s="41">
        <f t="shared" si="15"/>
        <v>7</v>
      </c>
      <c r="C616" s="4" t="s">
        <v>25</v>
      </c>
      <c r="E616" s="41">
        <f t="shared" si="14"/>
        <v>7</v>
      </c>
      <c r="F616" s="27"/>
      <c r="G616" s="180">
        <v>120</v>
      </c>
      <c r="H616" s="179">
        <v>5372441</v>
      </c>
      <c r="I616" s="180">
        <f>J616/45731</f>
        <v>120.27497758632</v>
      </c>
      <c r="J616" s="179">
        <v>5500295</v>
      </c>
      <c r="K616" s="179"/>
      <c r="L616" s="180">
        <f>118.91+0.14+15.31</f>
        <v>134.35999999999999</v>
      </c>
      <c r="M616" s="179">
        <f>5072784+668361</f>
        <v>5741145</v>
      </c>
      <c r="O616" s="109"/>
    </row>
    <row r="617" spans="1:15" s="5" customFormat="1" ht="12">
      <c r="A617" s="41">
        <f t="shared" si="15"/>
        <v>8</v>
      </c>
      <c r="C617" s="4" t="s">
        <v>26</v>
      </c>
      <c r="E617" s="41">
        <f t="shared" si="14"/>
        <v>8</v>
      </c>
      <c r="F617" s="27"/>
      <c r="G617" s="180"/>
      <c r="H617" s="179">
        <f>1148572-57081</f>
        <v>1091491</v>
      </c>
      <c r="I617" s="180"/>
      <c r="J617" s="179">
        <v>1249688</v>
      </c>
      <c r="K617" s="179"/>
      <c r="L617" s="180"/>
      <c r="M617" s="179">
        <f>1323454+170217</f>
        <v>1493671</v>
      </c>
      <c r="O617" s="109"/>
    </row>
    <row r="618" spans="1:15" s="5" customFormat="1" ht="12">
      <c r="A618" s="41">
        <f t="shared" si="15"/>
        <v>9</v>
      </c>
      <c r="C618" s="4" t="s">
        <v>27</v>
      </c>
      <c r="E618" s="41">
        <f t="shared" si="14"/>
        <v>9</v>
      </c>
      <c r="F618" s="27"/>
      <c r="G618" s="89">
        <f>SUM(G616:G617)</f>
        <v>120</v>
      </c>
      <c r="H618" s="86">
        <f>SUM(H615:H617)</f>
        <v>6463932</v>
      </c>
      <c r="I618" s="89">
        <f>SUM(I616:I617)</f>
        <v>120.27497758632</v>
      </c>
      <c r="J618" s="86">
        <f>SUM(J615:J617)</f>
        <v>6749983</v>
      </c>
      <c r="K618" s="86"/>
      <c r="L618" s="89">
        <f>SUM(L616:L617)</f>
        <v>134.35999999999999</v>
      </c>
      <c r="M618" s="86">
        <f>SUM(M615:M617)</f>
        <v>7234816</v>
      </c>
      <c r="O618" s="109"/>
    </row>
    <row r="619" spans="1:15" s="5" customFormat="1" ht="12">
      <c r="A619" s="41">
        <f t="shared" si="15"/>
        <v>10</v>
      </c>
      <c r="E619" s="41">
        <f t="shared" si="14"/>
        <v>10</v>
      </c>
      <c r="F619" s="27"/>
      <c r="G619" s="89"/>
      <c r="H619" s="86"/>
      <c r="I619" s="89"/>
      <c r="J619" s="86"/>
      <c r="K619" s="86"/>
      <c r="L619" s="89"/>
      <c r="M619" s="86"/>
      <c r="O619" s="109"/>
    </row>
    <row r="620" spans="1:15" s="5" customFormat="1" ht="12">
      <c r="A620" s="41">
        <f t="shared" si="15"/>
        <v>11</v>
      </c>
      <c r="C620" s="4" t="s">
        <v>28</v>
      </c>
      <c r="E620" s="41">
        <f t="shared" si="14"/>
        <v>11</v>
      </c>
      <c r="G620" s="89">
        <f>SUM(G613,G618)</f>
        <v>445.9</v>
      </c>
      <c r="H620" s="86">
        <f>SUM(H613,H618)</f>
        <v>42546494</v>
      </c>
      <c r="I620" s="89">
        <f>SUM(I613,I618)</f>
        <v>455.3529446721972</v>
      </c>
      <c r="J620" s="86">
        <f>SUM(J613,J618)</f>
        <v>45750808</v>
      </c>
      <c r="K620" s="86"/>
      <c r="L620" s="89">
        <f>SUM(L613,L618)</f>
        <v>485.66999999999996</v>
      </c>
      <c r="M620" s="86">
        <f>SUM(M613,M618)</f>
        <v>48605897</v>
      </c>
      <c r="O620" s="109"/>
    </row>
    <row r="621" spans="1:15" s="5" customFormat="1" ht="12">
      <c r="A621" s="41">
        <f t="shared" si="15"/>
        <v>12</v>
      </c>
      <c r="E621" s="41">
        <f t="shared" si="14"/>
        <v>12</v>
      </c>
      <c r="H621" s="86"/>
      <c r="J621" s="86"/>
      <c r="K621" s="86"/>
      <c r="M621" s="86"/>
      <c r="O621" s="109"/>
    </row>
    <row r="622" spans="1:15" s="5" customFormat="1" ht="12">
      <c r="A622" s="41">
        <f t="shared" si="15"/>
        <v>13</v>
      </c>
      <c r="C622" s="4" t="s">
        <v>29</v>
      </c>
      <c r="E622" s="41">
        <f t="shared" si="14"/>
        <v>13</v>
      </c>
      <c r="F622" s="27"/>
      <c r="G622" s="180">
        <v>7.4</v>
      </c>
      <c r="H622" s="179">
        <f>175570+112810</f>
        <v>288380</v>
      </c>
      <c r="I622" s="180">
        <f>J622/39235</f>
        <v>8.519357716324711</v>
      </c>
      <c r="J622" s="179">
        <f>205731+128526</f>
        <v>334257</v>
      </c>
      <c r="K622" s="179"/>
      <c r="L622" s="180">
        <f>0.69+2.53</f>
        <v>3.2199999999999998</v>
      </c>
      <c r="M622" s="179">
        <f>78371+800</f>
        <v>79171</v>
      </c>
      <c r="O622" s="109"/>
    </row>
    <row r="623" spans="1:15" s="5" customFormat="1" ht="12">
      <c r="A623" s="41">
        <f t="shared" si="15"/>
        <v>14</v>
      </c>
      <c r="E623" s="41">
        <f t="shared" si="14"/>
        <v>14</v>
      </c>
      <c r="F623" s="27"/>
      <c r="G623" s="27"/>
      <c r="H623" s="179"/>
      <c r="I623" s="27"/>
      <c r="J623" s="179"/>
      <c r="K623" s="179"/>
      <c r="L623" s="27"/>
      <c r="M623" s="179"/>
      <c r="O623" s="109"/>
    </row>
    <row r="624" spans="1:15" s="5" customFormat="1" ht="12">
      <c r="A624" s="41">
        <f t="shared" si="15"/>
        <v>15</v>
      </c>
      <c r="C624" s="4" t="s">
        <v>30</v>
      </c>
      <c r="E624" s="41">
        <f t="shared" si="14"/>
        <v>15</v>
      </c>
      <c r="F624" s="27"/>
      <c r="G624" s="180"/>
      <c r="H624" s="179">
        <v>697981</v>
      </c>
      <c r="I624" s="180"/>
      <c r="J624" s="179">
        <v>834758</v>
      </c>
      <c r="K624" s="179"/>
      <c r="L624" s="180"/>
      <c r="M624" s="179">
        <v>610652</v>
      </c>
      <c r="O624" s="109"/>
    </row>
    <row r="625" spans="1:15" s="5" customFormat="1" ht="12">
      <c r="A625" s="41">
        <f t="shared" si="15"/>
        <v>16</v>
      </c>
      <c r="C625" s="4" t="s">
        <v>243</v>
      </c>
      <c r="E625" s="41">
        <f t="shared" si="14"/>
        <v>16</v>
      </c>
      <c r="F625" s="27"/>
      <c r="G625" s="180"/>
      <c r="H625" s="179"/>
      <c r="I625" s="180"/>
      <c r="J625" s="179"/>
      <c r="K625" s="179"/>
      <c r="L625" s="180"/>
      <c r="M625" s="179"/>
      <c r="O625" s="109"/>
    </row>
    <row r="626" spans="1:15" s="5" customFormat="1" ht="12">
      <c r="A626" s="41">
        <f t="shared" si="15"/>
        <v>17</v>
      </c>
      <c r="C626" s="4" t="s">
        <v>246</v>
      </c>
      <c r="E626" s="41">
        <f t="shared" si="14"/>
        <v>17</v>
      </c>
      <c r="F626" s="27"/>
      <c r="G626" s="180"/>
      <c r="H626" s="179">
        <f>128+9229482+5177+1774859+137+636642-24965+80153-137-1774859-636642+24965-1566097+195333+6</f>
        <v>7944182</v>
      </c>
      <c r="I626" s="180"/>
      <c r="J626" s="179">
        <f>3886+10335813+2380-949-1906648</f>
        <v>8434482</v>
      </c>
      <c r="K626" s="179"/>
      <c r="L626" s="180"/>
      <c r="M626" s="179">
        <f>17647422+316851-864790+240422-311334+448643-1818408-2802-34982-239-125-6240-1258-6672610</f>
        <v>8940550</v>
      </c>
      <c r="O626" s="109"/>
    </row>
    <row r="627" spans="1:15" s="5" customFormat="1" ht="12">
      <c r="A627" s="41">
        <f t="shared" si="15"/>
        <v>18</v>
      </c>
      <c r="C627" s="4"/>
      <c r="E627" s="41">
        <f t="shared" si="14"/>
        <v>18</v>
      </c>
      <c r="F627" s="27"/>
      <c r="G627" s="180"/>
      <c r="H627" s="179"/>
      <c r="I627" s="180"/>
      <c r="J627" s="179"/>
      <c r="K627" s="179"/>
      <c r="L627" s="180"/>
      <c r="M627" s="179"/>
      <c r="O627" s="109"/>
    </row>
    <row r="628" spans="1:17" s="5" customFormat="1" ht="12">
      <c r="A628" s="41">
        <f t="shared" si="15"/>
        <v>19</v>
      </c>
      <c r="C628" s="4" t="s">
        <v>32</v>
      </c>
      <c r="E628" s="41">
        <f t="shared" si="14"/>
        <v>19</v>
      </c>
      <c r="F628" s="27"/>
      <c r="G628" s="180"/>
      <c r="H628" s="179">
        <f>636642-636642</f>
        <v>0</v>
      </c>
      <c r="I628" s="180"/>
      <c r="J628" s="179"/>
      <c r="K628" s="179"/>
      <c r="L628" s="180"/>
      <c r="M628" s="179"/>
      <c r="O628" s="249"/>
      <c r="P628" s="250"/>
      <c r="Q628" s="250"/>
    </row>
    <row r="629" spans="1:17" s="5" customFormat="1" ht="12">
      <c r="A629" s="41">
        <f t="shared" si="15"/>
        <v>20</v>
      </c>
      <c r="E629" s="41">
        <f t="shared" si="14"/>
        <v>20</v>
      </c>
      <c r="F629" s="27"/>
      <c r="G629" s="180"/>
      <c r="H629" s="179"/>
      <c r="I629" s="180"/>
      <c r="J629" s="179"/>
      <c r="K629" s="179"/>
      <c r="L629" s="180"/>
      <c r="M629" s="179"/>
      <c r="N629" s="192"/>
      <c r="O629" s="249"/>
      <c r="P629" s="251"/>
      <c r="Q629" s="36"/>
    </row>
    <row r="630" spans="1:17" s="5" customFormat="1" ht="12">
      <c r="A630" s="41">
        <f t="shared" si="15"/>
        <v>21</v>
      </c>
      <c r="E630" s="41">
        <f t="shared" si="14"/>
        <v>21</v>
      </c>
      <c r="F630" s="24"/>
      <c r="G630" s="24"/>
      <c r="H630" s="24"/>
      <c r="I630" s="24"/>
      <c r="J630" s="24"/>
      <c r="K630" s="24"/>
      <c r="L630" s="24"/>
      <c r="M630" s="24"/>
      <c r="O630" s="249"/>
      <c r="P630" s="251"/>
      <c r="Q630" s="36"/>
    </row>
    <row r="631" spans="1:15" s="5" customFormat="1" ht="12">
      <c r="A631" s="41">
        <f t="shared" si="15"/>
        <v>22</v>
      </c>
      <c r="E631" s="41">
        <f t="shared" si="14"/>
        <v>22</v>
      </c>
      <c r="F631" s="24"/>
      <c r="G631" s="24"/>
      <c r="H631" s="24"/>
      <c r="I631" s="24"/>
      <c r="J631" s="24"/>
      <c r="K631" s="24"/>
      <c r="L631" s="24"/>
      <c r="M631" s="24"/>
      <c r="O631" s="109"/>
    </row>
    <row r="632" spans="1:15" s="5" customFormat="1" ht="12">
      <c r="A632" s="41">
        <f t="shared" si="15"/>
        <v>23</v>
      </c>
      <c r="E632" s="41">
        <f t="shared" si="14"/>
        <v>23</v>
      </c>
      <c r="F632" s="24"/>
      <c r="G632" s="24"/>
      <c r="H632" s="86"/>
      <c r="I632" s="24"/>
      <c r="J632" s="86"/>
      <c r="K632" s="86"/>
      <c r="L632" s="24"/>
      <c r="M632" s="86"/>
      <c r="O632" s="109"/>
    </row>
    <row r="633" spans="1:15" s="5" customFormat="1" ht="12">
      <c r="A633" s="41">
        <f t="shared" si="15"/>
        <v>24</v>
      </c>
      <c r="E633" s="41">
        <f t="shared" si="14"/>
        <v>24</v>
      </c>
      <c r="G633" s="89"/>
      <c r="H633" s="86"/>
      <c r="I633" s="89"/>
      <c r="J633" s="86"/>
      <c r="K633" s="86"/>
      <c r="L633" s="89"/>
      <c r="M633" s="86"/>
      <c r="O633" s="109"/>
    </row>
    <row r="634" spans="5:15" s="5" customFormat="1" ht="12">
      <c r="E634" s="38"/>
      <c r="F634" s="24" t="s">
        <v>1</v>
      </c>
      <c r="G634" s="24" t="s">
        <v>1</v>
      </c>
      <c r="H634" s="24" t="s">
        <v>1</v>
      </c>
      <c r="I634" s="24" t="s">
        <v>1</v>
      </c>
      <c r="J634" s="24" t="s">
        <v>1</v>
      </c>
      <c r="K634" s="24"/>
      <c r="L634" s="24" t="s">
        <v>1</v>
      </c>
      <c r="M634" s="24" t="s">
        <v>1</v>
      </c>
      <c r="N634" s="192"/>
      <c r="O634" s="109"/>
    </row>
    <row r="635" spans="1:15" s="5" customFormat="1" ht="18" customHeight="1">
      <c r="A635" s="41">
        <v>25</v>
      </c>
      <c r="C635" s="4" t="s">
        <v>267</v>
      </c>
      <c r="E635" s="38">
        <v>25</v>
      </c>
      <c r="G635" s="77">
        <f>SUM(G620:G633)</f>
        <v>453.29999999999995</v>
      </c>
      <c r="H635" s="86">
        <f>SUM(H620:H633)</f>
        <v>51477037</v>
      </c>
      <c r="I635" s="77">
        <f>SUM(I620:I633)</f>
        <v>463.8723023885219</v>
      </c>
      <c r="J635" s="86">
        <f>SUM(J620:J633)</f>
        <v>55354305</v>
      </c>
      <c r="K635" s="86"/>
      <c r="L635" s="77">
        <f>SUM(L620:L633)</f>
        <v>488.89</v>
      </c>
      <c r="M635" s="86">
        <f>SUM(M620:M633)</f>
        <v>58236270</v>
      </c>
      <c r="N635" s="192"/>
      <c r="O635" s="109"/>
    </row>
    <row r="636" spans="5:15" s="5" customFormat="1" ht="12">
      <c r="E636" s="38"/>
      <c r="F636" s="24" t="s">
        <v>1</v>
      </c>
      <c r="G636" s="24" t="s">
        <v>1</v>
      </c>
      <c r="H636" s="24" t="s">
        <v>1</v>
      </c>
      <c r="I636" s="24" t="s">
        <v>1</v>
      </c>
      <c r="J636" s="24" t="s">
        <v>1</v>
      </c>
      <c r="K636" s="24"/>
      <c r="L636" s="24" t="s">
        <v>1</v>
      </c>
      <c r="M636" s="24" t="s">
        <v>1</v>
      </c>
      <c r="O636" s="109"/>
    </row>
    <row r="637" spans="5:15" s="5" customFormat="1" ht="12">
      <c r="E637" s="38"/>
      <c r="F637" s="24"/>
      <c r="G637" s="24"/>
      <c r="H637" s="24"/>
      <c r="I637" s="24"/>
      <c r="J637" s="24"/>
      <c r="K637" s="24"/>
      <c r="L637" s="24"/>
      <c r="M637" s="24"/>
      <c r="O637" s="109"/>
    </row>
    <row r="638" spans="5:15" s="5" customFormat="1" ht="12">
      <c r="E638" s="38"/>
      <c r="F638" s="24"/>
      <c r="G638" s="24"/>
      <c r="H638" s="24"/>
      <c r="I638" s="24"/>
      <c r="J638" s="24"/>
      <c r="K638" s="24"/>
      <c r="L638" s="24"/>
      <c r="M638" s="24"/>
      <c r="O638" s="109"/>
    </row>
    <row r="639" spans="1:15" s="5" customFormat="1" ht="12">
      <c r="A639" s="4"/>
      <c r="H639" s="192"/>
      <c r="J639" s="192"/>
      <c r="K639" s="192"/>
      <c r="M639" s="192"/>
      <c r="O639" s="109"/>
    </row>
    <row r="640" s="5" customFormat="1" ht="12">
      <c r="O640" s="109"/>
    </row>
    <row r="641" spans="1:15" s="5" customFormat="1" ht="12">
      <c r="A641" s="68" t="str">
        <f>+A82</f>
        <v>Institution No.:  GFE </v>
      </c>
      <c r="E641" s="38"/>
      <c r="G641" s="71"/>
      <c r="H641" s="86"/>
      <c r="I641" s="71"/>
      <c r="J641" s="189"/>
      <c r="K641" s="189"/>
      <c r="L641" s="71"/>
      <c r="M641" s="189" t="s">
        <v>33</v>
      </c>
      <c r="O641" s="109"/>
    </row>
    <row r="642" spans="1:15" s="5" customFormat="1" ht="12">
      <c r="A642" s="428" t="s">
        <v>160</v>
      </c>
      <c r="B642" s="428"/>
      <c r="C642" s="428"/>
      <c r="D642" s="428"/>
      <c r="E642" s="428"/>
      <c r="F642" s="428"/>
      <c r="G642" s="428"/>
      <c r="H642" s="428"/>
      <c r="I642" s="428"/>
      <c r="J642" s="428"/>
      <c r="K642" s="73"/>
      <c r="O642" s="109"/>
    </row>
    <row r="643" spans="1:15" s="5" customFormat="1" ht="12">
      <c r="A643" s="68" t="str">
        <f>+A84</f>
        <v>NAME:  University of Colorado - HSC</v>
      </c>
      <c r="F643" s="106"/>
      <c r="G643" s="106"/>
      <c r="H643" s="219"/>
      <c r="I643" s="71"/>
      <c r="J643" s="190"/>
      <c r="K643" s="190"/>
      <c r="L643" s="71"/>
      <c r="M643" s="190" t="str">
        <f>+M84</f>
        <v>Date:  10-07</v>
      </c>
      <c r="O643" s="109"/>
    </row>
    <row r="644" spans="1:15" s="5" customFormat="1" ht="12">
      <c r="A644" s="15" t="s">
        <v>1</v>
      </c>
      <c r="B644" s="15" t="s">
        <v>1</v>
      </c>
      <c r="C644" s="15" t="s">
        <v>1</v>
      </c>
      <c r="D644" s="15" t="s">
        <v>1</v>
      </c>
      <c r="E644" s="15" t="s">
        <v>1</v>
      </c>
      <c r="F644" s="15" t="s">
        <v>1</v>
      </c>
      <c r="G644" s="15" t="s">
        <v>1</v>
      </c>
      <c r="H644" s="15" t="s">
        <v>1</v>
      </c>
      <c r="I644" s="15" t="s">
        <v>1</v>
      </c>
      <c r="J644" s="15" t="s">
        <v>1</v>
      </c>
      <c r="K644" s="15"/>
      <c r="L644" s="15" t="s">
        <v>1</v>
      </c>
      <c r="M644" s="15" t="s">
        <v>1</v>
      </c>
      <c r="O644" s="109"/>
    </row>
    <row r="645" spans="1:15" s="5" customFormat="1" ht="12">
      <c r="A645" s="73" t="s">
        <v>2</v>
      </c>
      <c r="E645" s="73" t="s">
        <v>2</v>
      </c>
      <c r="F645" s="1"/>
      <c r="G645" s="123"/>
      <c r="H645" s="123" t="str">
        <f>$H$86</f>
        <v>2005-06</v>
      </c>
      <c r="I645" s="123"/>
      <c r="J645" s="123" t="str">
        <f>$J$86</f>
        <v>2006-07</v>
      </c>
      <c r="K645" s="123"/>
      <c r="L645" s="123"/>
      <c r="M645" s="123" t="str">
        <f>$M$86</f>
        <v>2007-08</v>
      </c>
      <c r="O645" s="109"/>
    </row>
    <row r="646" spans="1:15" s="5" customFormat="1" ht="12">
      <c r="A646" s="73" t="s">
        <v>4</v>
      </c>
      <c r="C646" s="74" t="s">
        <v>20</v>
      </c>
      <c r="E646" s="73" t="s">
        <v>4</v>
      </c>
      <c r="F646" s="1"/>
      <c r="G646" s="178" t="s">
        <v>21</v>
      </c>
      <c r="H646" s="123" t="s">
        <v>7</v>
      </c>
      <c r="I646" s="178" t="s">
        <v>21</v>
      </c>
      <c r="J646" s="123" t="s">
        <v>7</v>
      </c>
      <c r="K646" s="123"/>
      <c r="L646" s="178" t="s">
        <v>21</v>
      </c>
      <c r="M646" s="123" t="s">
        <v>8</v>
      </c>
      <c r="O646" s="109"/>
    </row>
    <row r="647" spans="1:15" s="5" customFormat="1" ht="12">
      <c r="A647" s="15" t="s">
        <v>1</v>
      </c>
      <c r="B647" s="15" t="s">
        <v>1</v>
      </c>
      <c r="C647" s="15" t="s">
        <v>1</v>
      </c>
      <c r="D647" s="15" t="s">
        <v>1</v>
      </c>
      <c r="E647" s="15" t="s">
        <v>1</v>
      </c>
      <c r="F647" s="15" t="s">
        <v>1</v>
      </c>
      <c r="G647" s="15" t="s">
        <v>1</v>
      </c>
      <c r="H647" s="15" t="s">
        <v>1</v>
      </c>
      <c r="I647" s="15" t="s">
        <v>1</v>
      </c>
      <c r="J647" s="176" t="s">
        <v>1</v>
      </c>
      <c r="K647" s="176"/>
      <c r="L647" s="15" t="s">
        <v>1</v>
      </c>
      <c r="M647" s="176" t="s">
        <v>1</v>
      </c>
      <c r="O647" s="109"/>
    </row>
    <row r="648" spans="1:15" s="5" customFormat="1" ht="12">
      <c r="A648" s="41">
        <v>1</v>
      </c>
      <c r="C648" s="4" t="s">
        <v>515</v>
      </c>
      <c r="E648" s="41">
        <v>1</v>
      </c>
      <c r="F648" s="27"/>
      <c r="G648" s="180">
        <v>1.9</v>
      </c>
      <c r="H648" s="179">
        <f>64664+64260</f>
        <v>128924</v>
      </c>
      <c r="I648" s="180">
        <v>1</v>
      </c>
      <c r="J648" s="179">
        <f>27251+1980</f>
        <v>29231</v>
      </c>
      <c r="K648" s="179"/>
      <c r="L648" s="180">
        <v>0.01</v>
      </c>
      <c r="M648" s="179">
        <v>676</v>
      </c>
      <c r="O648" s="109"/>
    </row>
    <row r="649" spans="1:15" s="5" customFormat="1" ht="12">
      <c r="A649" s="41">
        <v>2</v>
      </c>
      <c r="C649" s="4" t="s">
        <v>516</v>
      </c>
      <c r="E649" s="41">
        <v>2</v>
      </c>
      <c r="F649" s="27"/>
      <c r="G649" s="180"/>
      <c r="H649" s="179">
        <f>1080207+10903+1-1065982</f>
        <v>25129</v>
      </c>
      <c r="I649" s="180"/>
      <c r="J649" s="179">
        <f>7577+463</f>
        <v>8040</v>
      </c>
      <c r="K649" s="179"/>
      <c r="L649" s="180"/>
      <c r="M649" s="179">
        <v>176</v>
      </c>
      <c r="O649" s="109"/>
    </row>
    <row r="650" spans="1:15" s="5" customFormat="1" ht="12">
      <c r="A650" s="41">
        <v>3</v>
      </c>
      <c r="C650" s="4" t="s">
        <v>34</v>
      </c>
      <c r="E650" s="41">
        <v>3</v>
      </c>
      <c r="F650" s="27"/>
      <c r="G650" s="180"/>
      <c r="H650" s="241"/>
      <c r="I650" s="180"/>
      <c r="J650" s="241"/>
      <c r="K650" s="241"/>
      <c r="L650" s="180"/>
      <c r="M650" s="241"/>
      <c r="O650" s="109"/>
    </row>
    <row r="651" spans="1:15" s="5" customFormat="1" ht="12">
      <c r="A651" s="41">
        <v>4</v>
      </c>
      <c r="C651" s="4" t="s">
        <v>23</v>
      </c>
      <c r="E651" s="41">
        <v>4</v>
      </c>
      <c r="F651" s="27"/>
      <c r="G651" s="89">
        <f>SUM(G648,G650)</f>
        <v>1.9</v>
      </c>
      <c r="H651" s="86">
        <f>SUM(H648:H650)</f>
        <v>154053</v>
      </c>
      <c r="I651" s="89">
        <f>SUM(I648,I650)</f>
        <v>1</v>
      </c>
      <c r="J651" s="86">
        <f>SUM(J648:J650)</f>
        <v>37271</v>
      </c>
      <c r="K651" s="86"/>
      <c r="L651" s="89">
        <f>SUM(L648,L650)</f>
        <v>0.01</v>
      </c>
      <c r="M651" s="86">
        <f>SUM(M648:M650)</f>
        <v>852</v>
      </c>
      <c r="O651" s="109"/>
    </row>
    <row r="652" spans="1:15" s="5" customFormat="1" ht="12">
      <c r="A652" s="41">
        <v>5</v>
      </c>
      <c r="E652" s="41">
        <v>5</v>
      </c>
      <c r="F652" s="27"/>
      <c r="G652" s="89"/>
      <c r="H652" s="86"/>
      <c r="I652" s="89"/>
      <c r="J652" s="86"/>
      <c r="K652" s="86"/>
      <c r="L652" s="89"/>
      <c r="M652" s="86"/>
      <c r="O652" s="109"/>
    </row>
    <row r="653" spans="1:15" s="5" customFormat="1" ht="12">
      <c r="A653" s="41">
        <v>6</v>
      </c>
      <c r="C653" s="4" t="s">
        <v>24</v>
      </c>
      <c r="E653" s="41">
        <v>6</v>
      </c>
      <c r="F653" s="27"/>
      <c r="G653" s="180"/>
      <c r="H653" s="172"/>
      <c r="I653" s="180"/>
      <c r="J653" s="241"/>
      <c r="K653" s="241"/>
      <c r="L653" s="180"/>
      <c r="M653" s="241"/>
      <c r="O653" s="109"/>
    </row>
    <row r="654" spans="1:15" s="5" customFormat="1" ht="12">
      <c r="A654" s="41">
        <v>7</v>
      </c>
      <c r="C654" s="4" t="s">
        <v>25</v>
      </c>
      <c r="E654" s="41">
        <v>7</v>
      </c>
      <c r="F654" s="27"/>
      <c r="G654" s="180">
        <v>0</v>
      </c>
      <c r="H654" s="241"/>
      <c r="I654" s="180"/>
      <c r="J654" s="241"/>
      <c r="K654" s="241"/>
      <c r="L654" s="180"/>
      <c r="M654" s="241">
        <v>0</v>
      </c>
      <c r="O654" s="109"/>
    </row>
    <row r="655" spans="1:15" s="5" customFormat="1" ht="12">
      <c r="A655" s="41">
        <v>8</v>
      </c>
      <c r="C655" s="4" t="s">
        <v>26</v>
      </c>
      <c r="E655" s="41">
        <v>8</v>
      </c>
      <c r="F655" s="27"/>
      <c r="G655" s="180"/>
      <c r="H655" s="241">
        <f>16696-16696</f>
        <v>0</v>
      </c>
      <c r="I655" s="180"/>
      <c r="J655" s="241">
        <f>16696-16696</f>
        <v>0</v>
      </c>
      <c r="K655" s="241"/>
      <c r="L655" s="180"/>
      <c r="M655" s="241">
        <v>0</v>
      </c>
      <c r="O655" s="109"/>
    </row>
    <row r="656" spans="1:15" s="5" customFormat="1" ht="12">
      <c r="A656" s="41">
        <v>9</v>
      </c>
      <c r="C656" s="4" t="s">
        <v>27</v>
      </c>
      <c r="E656" s="41">
        <v>9</v>
      </c>
      <c r="F656" s="27"/>
      <c r="G656" s="89">
        <f>SUM(G653+G654)</f>
        <v>0</v>
      </c>
      <c r="H656" s="229">
        <f>SUM(H653:H655)</f>
        <v>0</v>
      </c>
      <c r="I656" s="89">
        <f>SUM(I653+I654)</f>
        <v>0</v>
      </c>
      <c r="J656" s="229">
        <f>SUM(J653:J655)</f>
        <v>0</v>
      </c>
      <c r="K656" s="229"/>
      <c r="L656" s="89">
        <v>0</v>
      </c>
      <c r="M656" s="229">
        <f>SUM(M653:M655)</f>
        <v>0</v>
      </c>
      <c r="O656" s="109"/>
    </row>
    <row r="657" spans="1:15" s="5" customFormat="1" ht="12">
      <c r="A657" s="41">
        <v>10</v>
      </c>
      <c r="E657" s="41">
        <v>10</v>
      </c>
      <c r="F657" s="27"/>
      <c r="G657" s="89"/>
      <c r="H657" s="86"/>
      <c r="I657" s="89"/>
      <c r="J657" s="86"/>
      <c r="K657" s="86"/>
      <c r="L657" s="89"/>
      <c r="M657" s="86"/>
      <c r="O657" s="109"/>
    </row>
    <row r="658" spans="1:15" s="5" customFormat="1" ht="12">
      <c r="A658" s="41">
        <v>11</v>
      </c>
      <c r="C658" s="4" t="s">
        <v>28</v>
      </c>
      <c r="E658" s="41">
        <v>11</v>
      </c>
      <c r="G658" s="89">
        <f>SUM(G651,G656)</f>
        <v>1.9</v>
      </c>
      <c r="H658" s="86">
        <f>SUM(H651,H656)</f>
        <v>154053</v>
      </c>
      <c r="I658" s="89">
        <f>SUM(I651,I656)</f>
        <v>1</v>
      </c>
      <c r="J658" s="86">
        <f>SUM(J651,J656)</f>
        <v>37271</v>
      </c>
      <c r="K658" s="86"/>
      <c r="L658" s="89">
        <f>SUM(L651,L656)</f>
        <v>0.01</v>
      </c>
      <c r="M658" s="86">
        <f>SUM(M651,M656)</f>
        <v>852</v>
      </c>
      <c r="O658" s="109"/>
    </row>
    <row r="659" spans="1:15" s="5" customFormat="1" ht="12">
      <c r="A659" s="41">
        <v>12</v>
      </c>
      <c r="E659" s="41">
        <v>12</v>
      </c>
      <c r="G659" s="89"/>
      <c r="H659" s="86"/>
      <c r="I659" s="89"/>
      <c r="J659" s="86"/>
      <c r="K659" s="86"/>
      <c r="L659" s="89"/>
      <c r="M659" s="86"/>
      <c r="O659" s="109"/>
    </row>
    <row r="660" spans="1:15" s="5" customFormat="1" ht="12">
      <c r="A660" s="41">
        <v>13</v>
      </c>
      <c r="C660" s="4" t="s">
        <v>29</v>
      </c>
      <c r="E660" s="41">
        <v>13</v>
      </c>
      <c r="F660" s="27"/>
      <c r="G660" s="180">
        <v>0.1</v>
      </c>
      <c r="H660" s="241">
        <v>0</v>
      </c>
      <c r="I660" s="180"/>
      <c r="J660" s="241"/>
      <c r="K660" s="241"/>
      <c r="L660" s="180"/>
      <c r="M660" s="241"/>
      <c r="O660" s="109"/>
    </row>
    <row r="661" spans="1:15" s="5" customFormat="1" ht="12">
      <c r="A661" s="41">
        <v>14</v>
      </c>
      <c r="E661" s="41">
        <v>14</v>
      </c>
      <c r="F661" s="27"/>
      <c r="G661" s="180"/>
      <c r="H661" s="179"/>
      <c r="I661" s="180"/>
      <c r="J661" s="179"/>
      <c r="K661" s="179"/>
      <c r="L661" s="180"/>
      <c r="M661" s="179"/>
      <c r="O661" s="109"/>
    </row>
    <row r="662" spans="1:15" s="5" customFormat="1" ht="12">
      <c r="A662" s="41">
        <v>15</v>
      </c>
      <c r="C662" s="4" t="s">
        <v>30</v>
      </c>
      <c r="E662" s="41">
        <v>15</v>
      </c>
      <c r="F662" s="27"/>
      <c r="G662" s="180"/>
      <c r="H662" s="179">
        <v>6973</v>
      </c>
      <c r="I662" s="180"/>
      <c r="J662" s="179">
        <v>616</v>
      </c>
      <c r="K662" s="179"/>
      <c r="L662" s="180"/>
      <c r="M662" s="179"/>
      <c r="O662" s="109"/>
    </row>
    <row r="663" spans="1:15" s="5" customFormat="1" ht="12">
      <c r="A663" s="41">
        <v>16</v>
      </c>
      <c r="C663" s="4" t="s">
        <v>31</v>
      </c>
      <c r="E663" s="41">
        <v>16</v>
      </c>
      <c r="F663" s="27"/>
      <c r="G663" s="180"/>
      <c r="H663" s="179">
        <f>8136</f>
        <v>8136</v>
      </c>
      <c r="I663" s="180"/>
      <c r="J663" s="179">
        <v>7487</v>
      </c>
      <c r="K663" s="179"/>
      <c r="L663" s="180"/>
      <c r="M663" s="179">
        <v>0</v>
      </c>
      <c r="O663" s="109"/>
    </row>
    <row r="664" spans="1:15" s="5" customFormat="1" ht="12">
      <c r="A664" s="41">
        <v>17</v>
      </c>
      <c r="C664" s="4" t="s">
        <v>32</v>
      </c>
      <c r="E664" s="41">
        <v>17</v>
      </c>
      <c r="F664" s="27"/>
      <c r="G664" s="180"/>
      <c r="H664" s="241"/>
      <c r="I664" s="180"/>
      <c r="J664" s="241"/>
      <c r="K664" s="241"/>
      <c r="L664" s="180"/>
      <c r="M664" s="241"/>
      <c r="O664" s="109"/>
    </row>
    <row r="665" spans="1:15" s="5" customFormat="1" ht="12">
      <c r="A665" s="41">
        <v>18</v>
      </c>
      <c r="E665" s="41">
        <v>18</v>
      </c>
      <c r="F665" s="27"/>
      <c r="G665" s="180"/>
      <c r="H665" s="179"/>
      <c r="I665" s="180"/>
      <c r="J665" s="179"/>
      <c r="K665" s="179"/>
      <c r="L665" s="180"/>
      <c r="M665" s="179"/>
      <c r="O665" s="109"/>
    </row>
    <row r="666" spans="1:15" s="5" customFormat="1" ht="12">
      <c r="A666" s="41">
        <v>19</v>
      </c>
      <c r="C666" s="4"/>
      <c r="E666" s="41">
        <v>19</v>
      </c>
      <c r="F666" s="27"/>
      <c r="G666" s="180"/>
      <c r="O666" s="109"/>
    </row>
    <row r="667" spans="1:15" s="5" customFormat="1" ht="12">
      <c r="A667" s="41">
        <v>20</v>
      </c>
      <c r="E667" s="41">
        <v>20</v>
      </c>
      <c r="F667" s="24"/>
      <c r="G667" s="24"/>
      <c r="H667" s="24"/>
      <c r="I667" s="24"/>
      <c r="J667" s="24"/>
      <c r="K667" s="24"/>
      <c r="L667" s="24"/>
      <c r="M667" s="24"/>
      <c r="O667" s="109"/>
    </row>
    <row r="668" spans="1:15" s="5" customFormat="1" ht="12">
      <c r="A668" s="41">
        <v>21</v>
      </c>
      <c r="E668" s="41">
        <v>21</v>
      </c>
      <c r="F668" s="24"/>
      <c r="G668" s="24"/>
      <c r="H668" s="86"/>
      <c r="I668" s="24"/>
      <c r="J668" s="86"/>
      <c r="K668" s="86"/>
      <c r="L668" s="24"/>
      <c r="M668" s="86"/>
      <c r="O668" s="109"/>
    </row>
    <row r="669" spans="1:15" s="5" customFormat="1" ht="12">
      <c r="A669" s="41">
        <v>22</v>
      </c>
      <c r="E669" s="41">
        <v>22</v>
      </c>
      <c r="G669" s="89"/>
      <c r="H669" s="86"/>
      <c r="I669" s="89"/>
      <c r="J669" s="86"/>
      <c r="K669" s="86"/>
      <c r="L669" s="89"/>
      <c r="M669" s="86"/>
      <c r="O669" s="109"/>
    </row>
    <row r="670" spans="1:15" s="5" customFormat="1" ht="12">
      <c r="A670" s="41">
        <v>23</v>
      </c>
      <c r="D670" s="47"/>
      <c r="E670" s="41">
        <v>23</v>
      </c>
      <c r="H670" s="86"/>
      <c r="J670" s="86"/>
      <c r="K670" s="86"/>
      <c r="M670" s="86"/>
      <c r="O670" s="109"/>
    </row>
    <row r="671" spans="1:15" s="5" customFormat="1" ht="12">
      <c r="A671" s="41">
        <v>24</v>
      </c>
      <c r="D671" s="47"/>
      <c r="E671" s="41">
        <v>24</v>
      </c>
      <c r="H671" s="86"/>
      <c r="J671" s="86"/>
      <c r="K671" s="86"/>
      <c r="M671" s="86"/>
      <c r="O671" s="109"/>
    </row>
    <row r="672" spans="5:15" s="5" customFormat="1" ht="12">
      <c r="E672" s="38"/>
      <c r="F672" s="24" t="s">
        <v>1</v>
      </c>
      <c r="G672" s="24"/>
      <c r="H672" s="24"/>
      <c r="I672" s="24" t="s">
        <v>1</v>
      </c>
      <c r="J672" s="24" t="s">
        <v>1</v>
      </c>
      <c r="K672" s="24"/>
      <c r="L672" s="24" t="s">
        <v>1</v>
      </c>
      <c r="M672" s="24" t="s">
        <v>1</v>
      </c>
      <c r="O672" s="109"/>
    </row>
    <row r="673" spans="1:15" s="5" customFormat="1" ht="18" customHeight="1">
      <c r="A673" s="41">
        <v>25</v>
      </c>
      <c r="C673" s="4" t="s">
        <v>268</v>
      </c>
      <c r="E673" s="38">
        <v>25</v>
      </c>
      <c r="G673" s="77">
        <f>SUM(G658:G671)</f>
        <v>2</v>
      </c>
      <c r="H673" s="25">
        <f>SUM(H658:H671)</f>
        <v>169162</v>
      </c>
      <c r="I673" s="77">
        <f>SUM(I658:I671)</f>
        <v>1</v>
      </c>
      <c r="J673" s="25">
        <f>SUM(J658:J671)</f>
        <v>45374</v>
      </c>
      <c r="K673" s="25"/>
      <c r="L673" s="77">
        <f>SUM(L658:L671)</f>
        <v>0.01</v>
      </c>
      <c r="M673" s="25">
        <f>SUM(M658:M671)</f>
        <v>852</v>
      </c>
      <c r="O673" s="109"/>
    </row>
    <row r="674" spans="5:15" s="5" customFormat="1" ht="12">
      <c r="E674" s="38"/>
      <c r="F674" s="24" t="s">
        <v>1</v>
      </c>
      <c r="G674" s="24" t="s">
        <v>1</v>
      </c>
      <c r="H674" s="24" t="s">
        <v>1</v>
      </c>
      <c r="I674" s="24" t="s">
        <v>1</v>
      </c>
      <c r="J674" s="24" t="s">
        <v>1</v>
      </c>
      <c r="K674" s="24"/>
      <c r="L674" s="24" t="s">
        <v>1</v>
      </c>
      <c r="M674" s="24" t="s">
        <v>1</v>
      </c>
      <c r="O674" s="109"/>
    </row>
    <row r="675" spans="5:15" s="5" customFormat="1" ht="12">
      <c r="E675" s="38"/>
      <c r="F675" s="24"/>
      <c r="G675" s="24"/>
      <c r="H675" s="24"/>
      <c r="I675" s="24"/>
      <c r="J675" s="24"/>
      <c r="K675" s="24"/>
      <c r="L675" s="24"/>
      <c r="M675" s="24"/>
      <c r="O675" s="109"/>
    </row>
    <row r="676" spans="1:15" s="5" customFormat="1" ht="12">
      <c r="A676" s="4"/>
      <c r="H676" s="86"/>
      <c r="J676" s="86"/>
      <c r="K676" s="86"/>
      <c r="M676" s="86"/>
      <c r="O676" s="109"/>
    </row>
    <row r="677" spans="8:15" s="5" customFormat="1" ht="12">
      <c r="H677" s="86"/>
      <c r="J677" s="86"/>
      <c r="K677" s="86"/>
      <c r="M677" s="86"/>
      <c r="O677" s="109"/>
    </row>
    <row r="678" spans="1:15" s="5" customFormat="1" ht="12">
      <c r="A678" s="68" t="str">
        <f>+A82</f>
        <v>Institution No.:  GFE </v>
      </c>
      <c r="E678" s="38"/>
      <c r="G678" s="71"/>
      <c r="H678" s="86"/>
      <c r="I678" s="71"/>
      <c r="J678" s="189"/>
      <c r="K678" s="189"/>
      <c r="L678" s="71"/>
      <c r="M678" s="189" t="s">
        <v>35</v>
      </c>
      <c r="O678" s="109"/>
    </row>
    <row r="679" spans="1:15" s="5" customFormat="1" ht="12">
      <c r="A679" s="428" t="s">
        <v>161</v>
      </c>
      <c r="B679" s="428"/>
      <c r="C679" s="428"/>
      <c r="D679" s="428"/>
      <c r="E679" s="428"/>
      <c r="F679" s="428"/>
      <c r="G679" s="428"/>
      <c r="H679" s="428"/>
      <c r="I679" s="428"/>
      <c r="J679" s="428"/>
      <c r="K679" s="73"/>
      <c r="O679" s="109"/>
    </row>
    <row r="680" spans="1:15" s="5" customFormat="1" ht="12">
      <c r="A680" s="68" t="str">
        <f>+A84</f>
        <v>NAME:  University of Colorado - HSC</v>
      </c>
      <c r="G680" s="7"/>
      <c r="H680" s="219"/>
      <c r="I680" s="71"/>
      <c r="J680" s="190"/>
      <c r="K680" s="190"/>
      <c r="L680" s="71"/>
      <c r="M680" s="228" t="str">
        <f>+M84</f>
        <v>Date:  10-07</v>
      </c>
      <c r="O680" s="109"/>
    </row>
    <row r="681" spans="1:15" s="5" customFormat="1" ht="12">
      <c r="A681" s="15" t="s">
        <v>1</v>
      </c>
      <c r="B681" s="15" t="s">
        <v>1</v>
      </c>
      <c r="C681" s="15" t="s">
        <v>1</v>
      </c>
      <c r="D681" s="15" t="s">
        <v>1</v>
      </c>
      <c r="E681" s="15" t="s">
        <v>1</v>
      </c>
      <c r="F681" s="15" t="s">
        <v>1</v>
      </c>
      <c r="G681" s="15" t="s">
        <v>1</v>
      </c>
      <c r="H681" s="176" t="s">
        <v>1</v>
      </c>
      <c r="I681" s="15" t="s">
        <v>1</v>
      </c>
      <c r="J681" s="176" t="s">
        <v>1</v>
      </c>
      <c r="K681" s="176"/>
      <c r="L681" s="15" t="s">
        <v>1</v>
      </c>
      <c r="M681" s="176" t="s">
        <v>1</v>
      </c>
      <c r="O681" s="109"/>
    </row>
    <row r="682" spans="1:15" s="5" customFormat="1" ht="12">
      <c r="A682" s="73" t="s">
        <v>2</v>
      </c>
      <c r="E682" s="73" t="s">
        <v>2</v>
      </c>
      <c r="F682" s="1"/>
      <c r="G682" s="123"/>
      <c r="H682" s="123" t="str">
        <f>$H$86</f>
        <v>2005-06</v>
      </c>
      <c r="I682" s="123"/>
      <c r="J682" s="123" t="str">
        <f>$J$86</f>
        <v>2006-07</v>
      </c>
      <c r="K682" s="123"/>
      <c r="L682" s="123"/>
      <c r="M682" s="123" t="str">
        <f>$M$86</f>
        <v>2007-08</v>
      </c>
      <c r="O682" s="109"/>
    </row>
    <row r="683" spans="1:15" s="5" customFormat="1" ht="12">
      <c r="A683" s="73" t="s">
        <v>4</v>
      </c>
      <c r="C683" s="74" t="s">
        <v>20</v>
      </c>
      <c r="E683" s="73" t="s">
        <v>4</v>
      </c>
      <c r="F683" s="1"/>
      <c r="G683" s="178" t="s">
        <v>21</v>
      </c>
      <c r="H683" s="123" t="s">
        <v>7</v>
      </c>
      <c r="I683" s="178" t="s">
        <v>21</v>
      </c>
      <c r="J683" s="123" t="s">
        <v>7</v>
      </c>
      <c r="K683" s="123"/>
      <c r="L683" s="178" t="s">
        <v>21</v>
      </c>
      <c r="M683" s="123" t="s">
        <v>8</v>
      </c>
      <c r="O683" s="109"/>
    </row>
    <row r="684" spans="1:15" s="5" customFormat="1" ht="12">
      <c r="A684" s="15" t="s">
        <v>1</v>
      </c>
      <c r="B684" s="15" t="s">
        <v>1</v>
      </c>
      <c r="C684" s="15" t="s">
        <v>1</v>
      </c>
      <c r="D684" s="15" t="s">
        <v>1</v>
      </c>
      <c r="E684" s="15" t="s">
        <v>1</v>
      </c>
      <c r="F684" s="15" t="s">
        <v>1</v>
      </c>
      <c r="G684" s="15" t="s">
        <v>1</v>
      </c>
      <c r="H684" s="176" t="s">
        <v>1</v>
      </c>
      <c r="I684" s="15" t="s">
        <v>1</v>
      </c>
      <c r="J684" s="176" t="s">
        <v>1</v>
      </c>
      <c r="K684" s="176"/>
      <c r="L684" s="15" t="s">
        <v>1</v>
      </c>
      <c r="M684" s="176" t="s">
        <v>1</v>
      </c>
      <c r="O684" s="109"/>
    </row>
    <row r="685" spans="1:15" s="5" customFormat="1" ht="12">
      <c r="A685" s="41">
        <v>1</v>
      </c>
      <c r="C685" s="4" t="s">
        <v>36</v>
      </c>
      <c r="E685" s="41">
        <v>1</v>
      </c>
      <c r="F685" s="27"/>
      <c r="G685" s="180">
        <v>1.1</v>
      </c>
      <c r="H685" s="241">
        <f>84304+35458</f>
        <v>119762</v>
      </c>
      <c r="I685" s="180">
        <v>0.91</v>
      </c>
      <c r="J685" s="241">
        <f>55779+43651</f>
        <v>99430</v>
      </c>
      <c r="K685" s="241"/>
      <c r="L685" s="180">
        <v>0.1</v>
      </c>
      <c r="M685" s="241">
        <v>5213</v>
      </c>
      <c r="O685" s="109"/>
    </row>
    <row r="686" spans="1:15" s="5" customFormat="1" ht="12">
      <c r="A686" s="41">
        <v>2</v>
      </c>
      <c r="C686" s="4" t="s">
        <v>37</v>
      </c>
      <c r="E686" s="41">
        <v>2</v>
      </c>
      <c r="F686" s="27"/>
      <c r="G686" s="180"/>
      <c r="H686" s="241">
        <f>121581+7204-104231</f>
        <v>24554</v>
      </c>
      <c r="I686" s="180"/>
      <c r="J686" s="241">
        <f>15702+10328</f>
        <v>26030</v>
      </c>
      <c r="K686" s="241"/>
      <c r="L686" s="180"/>
      <c r="M686" s="241">
        <v>1538</v>
      </c>
      <c r="O686" s="109"/>
    </row>
    <row r="687" spans="1:15" s="5" customFormat="1" ht="12">
      <c r="A687" s="41">
        <v>3</v>
      </c>
      <c r="E687" s="41">
        <v>3</v>
      </c>
      <c r="F687" s="27"/>
      <c r="G687" s="180"/>
      <c r="H687" s="241"/>
      <c r="I687" s="180"/>
      <c r="J687" s="241"/>
      <c r="K687" s="241"/>
      <c r="L687" s="180"/>
      <c r="M687" s="241"/>
      <c r="O687" s="109"/>
    </row>
    <row r="688" spans="1:15" s="5" customFormat="1" ht="12">
      <c r="A688" s="41">
        <v>4</v>
      </c>
      <c r="C688" s="4" t="s">
        <v>23</v>
      </c>
      <c r="E688" s="41">
        <v>4</v>
      </c>
      <c r="F688" s="27"/>
      <c r="G688" s="89">
        <f>SUM(G685:G686)</f>
        <v>1.1</v>
      </c>
      <c r="H688" s="229">
        <f>SUM(H685:H686)</f>
        <v>144316</v>
      </c>
      <c r="I688" s="89">
        <f>SUM(I685:I686)</f>
        <v>0.91</v>
      </c>
      <c r="J688" s="229">
        <f>SUM(J685:J686)</f>
        <v>125460</v>
      </c>
      <c r="K688" s="229"/>
      <c r="L688" s="89">
        <f>SUM(L685:L686)</f>
        <v>0.1</v>
      </c>
      <c r="M688" s="229">
        <f>SUM(M685:M686)</f>
        <v>6751</v>
      </c>
      <c r="O688" s="109"/>
    </row>
    <row r="689" spans="1:15" s="5" customFormat="1" ht="12">
      <c r="A689" s="41">
        <v>5</v>
      </c>
      <c r="E689" s="41">
        <v>5</v>
      </c>
      <c r="F689" s="27"/>
      <c r="G689" s="89"/>
      <c r="H689" s="229"/>
      <c r="I689" s="89"/>
      <c r="J689" s="229"/>
      <c r="K689" s="229"/>
      <c r="L689" s="89"/>
      <c r="M689" s="229"/>
      <c r="O689" s="109"/>
    </row>
    <row r="690" spans="1:15" s="5" customFormat="1" ht="12">
      <c r="A690" s="41">
        <v>6</v>
      </c>
      <c r="E690" s="41">
        <v>6</v>
      </c>
      <c r="F690" s="27"/>
      <c r="G690" s="89"/>
      <c r="H690" s="229"/>
      <c r="I690" s="89"/>
      <c r="J690" s="229"/>
      <c r="K690" s="229"/>
      <c r="L690" s="89"/>
      <c r="M690" s="229"/>
      <c r="O690" s="109"/>
    </row>
    <row r="691" spans="1:15" s="5" customFormat="1" ht="12">
      <c r="A691" s="41">
        <v>7</v>
      </c>
      <c r="C691" s="4" t="s">
        <v>25</v>
      </c>
      <c r="E691" s="41">
        <v>7</v>
      </c>
      <c r="F691" s="27"/>
      <c r="G691" s="180"/>
      <c r="H691" s="241"/>
      <c r="I691" s="180"/>
      <c r="J691" s="241">
        <v>12782</v>
      </c>
      <c r="K691" s="241"/>
      <c r="L691" s="180">
        <v>0</v>
      </c>
      <c r="M691" s="241"/>
      <c r="O691" s="109"/>
    </row>
    <row r="692" spans="1:15" s="5" customFormat="1" ht="12">
      <c r="A692" s="41">
        <v>8</v>
      </c>
      <c r="C692" s="4" t="s">
        <v>26</v>
      </c>
      <c r="E692" s="41">
        <v>8</v>
      </c>
      <c r="F692" s="27"/>
      <c r="G692" s="180"/>
      <c r="H692" s="241">
        <f>19621-19621</f>
        <v>0</v>
      </c>
      <c r="I692" s="180"/>
      <c r="J692" s="241">
        <v>2749</v>
      </c>
      <c r="K692" s="241"/>
      <c r="L692" s="180"/>
      <c r="M692" s="241">
        <v>0</v>
      </c>
      <c r="O692" s="109"/>
    </row>
    <row r="693" spans="1:15" s="5" customFormat="1" ht="12">
      <c r="A693" s="41">
        <v>9</v>
      </c>
      <c r="C693" s="4" t="s">
        <v>27</v>
      </c>
      <c r="E693" s="41">
        <v>9</v>
      </c>
      <c r="F693" s="27"/>
      <c r="G693" s="89">
        <f>SUM(G691:G692)</f>
        <v>0</v>
      </c>
      <c r="H693" s="86">
        <f>SUM(H691:H692)</f>
        <v>0</v>
      </c>
      <c r="I693" s="89">
        <f>SUM(I691:I692)</f>
        <v>0</v>
      </c>
      <c r="J693" s="86">
        <f>SUM(J691:J692)</f>
        <v>15531</v>
      </c>
      <c r="K693" s="86"/>
      <c r="L693" s="89">
        <f>SUM(L691:L692)</f>
        <v>0</v>
      </c>
      <c r="M693" s="229">
        <f>SUM(M691:M692)</f>
        <v>0</v>
      </c>
      <c r="O693" s="109"/>
    </row>
    <row r="694" spans="1:15" s="5" customFormat="1" ht="12">
      <c r="A694" s="41">
        <v>10</v>
      </c>
      <c r="E694" s="41">
        <v>10</v>
      </c>
      <c r="F694" s="27"/>
      <c r="G694" s="89"/>
      <c r="H694" s="229"/>
      <c r="I694" s="89"/>
      <c r="J694" s="229"/>
      <c r="K694" s="229"/>
      <c r="L694" s="89"/>
      <c r="M694" s="229"/>
      <c r="O694" s="109"/>
    </row>
    <row r="695" spans="1:15" s="5" customFormat="1" ht="12">
      <c r="A695" s="41">
        <v>11</v>
      </c>
      <c r="C695" s="4" t="s">
        <v>28</v>
      </c>
      <c r="E695" s="41">
        <v>11</v>
      </c>
      <c r="G695" s="89">
        <f>SUM(G693,G688)</f>
        <v>1.1</v>
      </c>
      <c r="H695" s="229">
        <f>SUM(H693,H688)</f>
        <v>144316</v>
      </c>
      <c r="I695" s="89">
        <f>SUM(I693,I688)</f>
        <v>0.91</v>
      </c>
      <c r="J695" s="229">
        <f>SUM(J693,J688)</f>
        <v>140991</v>
      </c>
      <c r="K695" s="229"/>
      <c r="L695" s="89">
        <f>SUM(L693,L688)</f>
        <v>0.1</v>
      </c>
      <c r="M695" s="229">
        <f>SUM(M693,M688)</f>
        <v>6751</v>
      </c>
      <c r="O695" s="109"/>
    </row>
    <row r="696" spans="1:15" s="5" customFormat="1" ht="12">
      <c r="A696" s="41">
        <v>12</v>
      </c>
      <c r="E696" s="41">
        <v>12</v>
      </c>
      <c r="G696" s="89"/>
      <c r="H696" s="86"/>
      <c r="I696" s="89"/>
      <c r="J696" s="86"/>
      <c r="K696" s="86"/>
      <c r="L696" s="89"/>
      <c r="M696" s="86"/>
      <c r="O696" s="109"/>
    </row>
    <row r="697" spans="1:15" s="5" customFormat="1" ht="12">
      <c r="A697" s="41">
        <v>13</v>
      </c>
      <c r="C697" s="4" t="s">
        <v>38</v>
      </c>
      <c r="E697" s="41">
        <v>13</v>
      </c>
      <c r="F697" s="27"/>
      <c r="G697" s="180"/>
      <c r="H697" s="179"/>
      <c r="I697" s="180"/>
      <c r="J697" s="179"/>
      <c r="K697" s="179"/>
      <c r="L697" s="180"/>
      <c r="M697" s="179"/>
      <c r="O697" s="109"/>
    </row>
    <row r="698" spans="1:15" s="5" customFormat="1" ht="12">
      <c r="A698" s="41">
        <v>14</v>
      </c>
      <c r="E698" s="41">
        <v>14</v>
      </c>
      <c r="F698" s="27"/>
      <c r="G698" s="180"/>
      <c r="H698" s="179"/>
      <c r="I698" s="180"/>
      <c r="J698" s="179"/>
      <c r="K698" s="179"/>
      <c r="L698" s="180"/>
      <c r="M698" s="179"/>
      <c r="O698" s="109"/>
    </row>
    <row r="699" spans="1:15" s="5" customFormat="1" ht="12">
      <c r="A699" s="41">
        <v>15</v>
      </c>
      <c r="C699" s="4" t="s">
        <v>30</v>
      </c>
      <c r="E699" s="41">
        <v>15</v>
      </c>
      <c r="F699" s="27"/>
      <c r="G699" s="180"/>
      <c r="H699" s="179">
        <v>712</v>
      </c>
      <c r="I699" s="180"/>
      <c r="J699" s="179">
        <v>246</v>
      </c>
      <c r="K699" s="179"/>
      <c r="L699" s="180"/>
      <c r="M699" s="179">
        <v>4000</v>
      </c>
      <c r="O699" s="109"/>
    </row>
    <row r="700" spans="1:15" s="5" customFormat="1" ht="12">
      <c r="A700" s="41">
        <v>16</v>
      </c>
      <c r="C700" s="4" t="s">
        <v>31</v>
      </c>
      <c r="E700" s="41">
        <v>16</v>
      </c>
      <c r="F700" s="27"/>
      <c r="G700" s="180"/>
      <c r="H700" s="179">
        <v>240</v>
      </c>
      <c r="I700" s="180"/>
      <c r="J700" s="179">
        <v>6041</v>
      </c>
      <c r="K700" s="179"/>
      <c r="L700" s="180"/>
      <c r="M700" s="179">
        <v>1249</v>
      </c>
      <c r="O700" s="109"/>
    </row>
    <row r="701" spans="1:15" s="5" customFormat="1" ht="12">
      <c r="A701" s="41">
        <v>17</v>
      </c>
      <c r="C701" s="4" t="s">
        <v>32</v>
      </c>
      <c r="E701" s="41">
        <v>17</v>
      </c>
      <c r="F701" s="27"/>
      <c r="G701" s="180"/>
      <c r="H701" s="179"/>
      <c r="I701" s="180"/>
      <c r="J701" s="179"/>
      <c r="K701" s="179"/>
      <c r="L701" s="180"/>
      <c r="M701" s="179"/>
      <c r="O701" s="109"/>
    </row>
    <row r="702" spans="1:15" s="5" customFormat="1" ht="12">
      <c r="A702" s="41">
        <v>18</v>
      </c>
      <c r="E702" s="41">
        <v>18</v>
      </c>
      <c r="F702" s="27"/>
      <c r="G702" s="180"/>
      <c r="H702" s="179"/>
      <c r="I702" s="180"/>
      <c r="J702" s="179"/>
      <c r="K702" s="179"/>
      <c r="L702" s="180"/>
      <c r="M702" s="179"/>
      <c r="O702" s="109"/>
    </row>
    <row r="703" spans="1:15" s="5" customFormat="1" ht="12">
      <c r="A703" s="41">
        <v>19</v>
      </c>
      <c r="C703" s="4"/>
      <c r="E703" s="41">
        <v>19</v>
      </c>
      <c r="F703" s="27"/>
      <c r="G703" s="180"/>
      <c r="O703" s="109"/>
    </row>
    <row r="704" spans="1:15" s="5" customFormat="1" ht="12">
      <c r="A704" s="41">
        <v>20</v>
      </c>
      <c r="E704" s="41">
        <v>20</v>
      </c>
      <c r="F704" s="24"/>
      <c r="G704" s="24"/>
      <c r="H704" s="24"/>
      <c r="I704" s="24"/>
      <c r="J704" s="24"/>
      <c r="K704" s="24"/>
      <c r="L704" s="24"/>
      <c r="M704" s="24"/>
      <c r="O704" s="109"/>
    </row>
    <row r="705" spans="1:15" s="5" customFormat="1" ht="12">
      <c r="A705" s="41">
        <v>21</v>
      </c>
      <c r="E705" s="41">
        <v>21</v>
      </c>
      <c r="F705" s="24"/>
      <c r="G705" s="24"/>
      <c r="H705" s="86"/>
      <c r="I705" s="24"/>
      <c r="J705" s="86"/>
      <c r="K705" s="86"/>
      <c r="L705" s="24"/>
      <c r="M705" s="86"/>
      <c r="O705" s="109"/>
    </row>
    <row r="706" spans="1:15" s="5" customFormat="1" ht="12">
      <c r="A706" s="41">
        <v>22</v>
      </c>
      <c r="E706" s="41">
        <v>22</v>
      </c>
      <c r="G706" s="89"/>
      <c r="H706" s="86"/>
      <c r="I706" s="89"/>
      <c r="J706" s="86"/>
      <c r="K706" s="86"/>
      <c r="L706" s="89"/>
      <c r="M706" s="86"/>
      <c r="O706" s="109"/>
    </row>
    <row r="707" spans="1:15" s="5" customFormat="1" ht="12">
      <c r="A707" s="41">
        <v>23</v>
      </c>
      <c r="D707" s="47"/>
      <c r="E707" s="41">
        <v>23</v>
      </c>
      <c r="H707" s="86"/>
      <c r="J707" s="86"/>
      <c r="K707" s="86"/>
      <c r="M707" s="86"/>
      <c r="O707" s="109"/>
    </row>
    <row r="708" spans="1:15" s="5" customFormat="1" ht="12">
      <c r="A708" s="41">
        <v>24</v>
      </c>
      <c r="D708" s="47"/>
      <c r="E708" s="41">
        <v>24</v>
      </c>
      <c r="H708" s="86"/>
      <c r="J708" s="86"/>
      <c r="K708" s="86"/>
      <c r="M708" s="86"/>
      <c r="O708" s="109"/>
    </row>
    <row r="709" spans="5:15" s="5" customFormat="1" ht="12">
      <c r="E709" s="38"/>
      <c r="F709" s="24" t="s">
        <v>1</v>
      </c>
      <c r="G709" s="24"/>
      <c r="H709" s="24"/>
      <c r="I709" s="24" t="s">
        <v>1</v>
      </c>
      <c r="J709" s="24" t="s">
        <v>1</v>
      </c>
      <c r="K709" s="24"/>
      <c r="L709" s="24" t="s">
        <v>1</v>
      </c>
      <c r="M709" s="24" t="s">
        <v>1</v>
      </c>
      <c r="O709" s="109"/>
    </row>
    <row r="710" spans="1:15" s="5" customFormat="1" ht="18" customHeight="1">
      <c r="A710" s="41">
        <v>25</v>
      </c>
      <c r="C710" s="4" t="s">
        <v>269</v>
      </c>
      <c r="E710" s="38">
        <v>25</v>
      </c>
      <c r="G710" s="77">
        <f>SUM(G695:G706)</f>
        <v>1.1</v>
      </c>
      <c r="H710" s="86">
        <f>SUM(H695:H706)</f>
        <v>145268</v>
      </c>
      <c r="I710" s="77">
        <f>SUM(I695:I706)</f>
        <v>0.91</v>
      </c>
      <c r="J710" s="86">
        <f>SUM(J695:J706)</f>
        <v>147278</v>
      </c>
      <c r="K710" s="86"/>
      <c r="L710" s="77">
        <f>SUM(L695:L706)</f>
        <v>0.1</v>
      </c>
      <c r="M710" s="86">
        <f>SUM(M695:M706)</f>
        <v>12000</v>
      </c>
      <c r="O710" s="109"/>
    </row>
    <row r="711" spans="5:15" s="5" customFormat="1" ht="12">
      <c r="E711" s="38"/>
      <c r="F711" s="24" t="s">
        <v>1</v>
      </c>
      <c r="G711" s="24" t="s">
        <v>1</v>
      </c>
      <c r="H711" s="24" t="s">
        <v>1</v>
      </c>
      <c r="I711" s="24" t="s">
        <v>1</v>
      </c>
      <c r="J711" s="24" t="s">
        <v>1</v>
      </c>
      <c r="K711" s="24"/>
      <c r="L711" s="24" t="s">
        <v>1</v>
      </c>
      <c r="M711" s="24" t="s">
        <v>1</v>
      </c>
      <c r="O711" s="109"/>
    </row>
    <row r="712" spans="1:15" s="5" customFormat="1" ht="12.75" customHeight="1">
      <c r="A712" s="4"/>
      <c r="H712" s="86"/>
      <c r="J712" s="86"/>
      <c r="K712" s="86"/>
      <c r="M712" s="86"/>
      <c r="O712" s="109"/>
    </row>
    <row r="713" spans="1:15" s="5" customFormat="1" ht="12.75" customHeight="1">
      <c r="A713" s="4"/>
      <c r="H713" s="86"/>
      <c r="J713" s="86"/>
      <c r="K713" s="86"/>
      <c r="M713" s="86"/>
      <c r="O713" s="109"/>
    </row>
    <row r="714" spans="8:15" s="5" customFormat="1" ht="12">
      <c r="H714" s="86"/>
      <c r="J714" s="86"/>
      <c r="K714" s="86"/>
      <c r="M714" s="86"/>
      <c r="O714" s="109"/>
    </row>
    <row r="715" spans="1:15" s="5" customFormat="1" ht="12">
      <c r="A715" s="68" t="str">
        <f>+A82</f>
        <v>Institution No.:  GFE </v>
      </c>
      <c r="E715" s="38"/>
      <c r="G715" s="71"/>
      <c r="H715" s="86"/>
      <c r="I715" s="71"/>
      <c r="J715" s="189"/>
      <c r="K715" s="189"/>
      <c r="L715" s="71"/>
      <c r="M715" s="189" t="s">
        <v>39</v>
      </c>
      <c r="O715" s="109"/>
    </row>
    <row r="716" spans="1:15" s="5" customFormat="1" ht="12">
      <c r="A716" s="428" t="s">
        <v>162</v>
      </c>
      <c r="B716" s="428"/>
      <c r="C716" s="428"/>
      <c r="D716" s="428"/>
      <c r="E716" s="428"/>
      <c r="F716" s="428"/>
      <c r="G716" s="428"/>
      <c r="H716" s="428"/>
      <c r="I716" s="428"/>
      <c r="J716" s="428"/>
      <c r="K716" s="73"/>
      <c r="O716" s="109"/>
    </row>
    <row r="717" spans="1:15" s="5" customFormat="1" ht="12">
      <c r="A717" s="68" t="str">
        <f>+A84</f>
        <v>NAME:  University of Colorado - HSC</v>
      </c>
      <c r="G717" s="7"/>
      <c r="H717" s="219"/>
      <c r="I717" s="71"/>
      <c r="J717" s="190"/>
      <c r="K717" s="190"/>
      <c r="L717" s="71"/>
      <c r="M717" s="228" t="str">
        <f>+M84</f>
        <v>Date:  10-07</v>
      </c>
      <c r="O717" s="109"/>
    </row>
    <row r="718" spans="1:15" s="5" customFormat="1" ht="12">
      <c r="A718" s="15" t="s">
        <v>1</v>
      </c>
      <c r="B718" s="15" t="s">
        <v>1</v>
      </c>
      <c r="C718" s="15" t="s">
        <v>1</v>
      </c>
      <c r="D718" s="15" t="s">
        <v>1</v>
      </c>
      <c r="E718" s="15" t="s">
        <v>1</v>
      </c>
      <c r="F718" s="15" t="s">
        <v>1</v>
      </c>
      <c r="G718" s="15" t="s">
        <v>1</v>
      </c>
      <c r="H718" s="176" t="s">
        <v>1</v>
      </c>
      <c r="I718" s="15" t="s">
        <v>1</v>
      </c>
      <c r="J718" s="176" t="s">
        <v>1</v>
      </c>
      <c r="K718" s="176"/>
      <c r="L718" s="15" t="s">
        <v>1</v>
      </c>
      <c r="M718" s="176" t="s">
        <v>1</v>
      </c>
      <c r="O718" s="109"/>
    </row>
    <row r="719" spans="1:15" s="5" customFormat="1" ht="12">
      <c r="A719" s="73" t="s">
        <v>2</v>
      </c>
      <c r="E719" s="73" t="s">
        <v>2</v>
      </c>
      <c r="F719" s="1"/>
      <c r="G719" s="123"/>
      <c r="H719" s="123" t="str">
        <f>$H$86</f>
        <v>2005-06</v>
      </c>
      <c r="I719" s="123"/>
      <c r="J719" s="123" t="str">
        <f>$J$86</f>
        <v>2006-07</v>
      </c>
      <c r="K719" s="123"/>
      <c r="L719" s="123"/>
      <c r="M719" s="123" t="str">
        <f>$M$86</f>
        <v>2007-08</v>
      </c>
      <c r="O719" s="109"/>
    </row>
    <row r="720" spans="1:15" s="5" customFormat="1" ht="12">
      <c r="A720" s="73" t="s">
        <v>4</v>
      </c>
      <c r="C720" s="74" t="s">
        <v>20</v>
      </c>
      <c r="E720" s="73" t="s">
        <v>4</v>
      </c>
      <c r="F720" s="1"/>
      <c r="G720" s="178" t="s">
        <v>21</v>
      </c>
      <c r="H720" s="123" t="s">
        <v>7</v>
      </c>
      <c r="I720" s="178" t="s">
        <v>21</v>
      </c>
      <c r="J720" s="123" t="s">
        <v>7</v>
      </c>
      <c r="K720" s="123"/>
      <c r="L720" s="178" t="s">
        <v>21</v>
      </c>
      <c r="M720" s="123" t="s">
        <v>8</v>
      </c>
      <c r="O720" s="109"/>
    </row>
    <row r="721" spans="1:15" s="5" customFormat="1" ht="12">
      <c r="A721" s="15" t="s">
        <v>1</v>
      </c>
      <c r="B721" s="15" t="s">
        <v>1</v>
      </c>
      <c r="C721" s="15" t="s">
        <v>1</v>
      </c>
      <c r="D721" s="15" t="s">
        <v>1</v>
      </c>
      <c r="E721" s="15" t="s">
        <v>1</v>
      </c>
      <c r="F721" s="15" t="s">
        <v>1</v>
      </c>
      <c r="G721" s="15" t="s">
        <v>1</v>
      </c>
      <c r="H721" s="176" t="s">
        <v>1</v>
      </c>
      <c r="I721" s="15" t="s">
        <v>1</v>
      </c>
      <c r="J721" s="176" t="s">
        <v>1</v>
      </c>
      <c r="K721" s="176"/>
      <c r="L721" s="15" t="s">
        <v>1</v>
      </c>
      <c r="M721" s="176" t="s">
        <v>1</v>
      </c>
      <c r="O721" s="109"/>
    </row>
    <row r="722" spans="1:15" s="5" customFormat="1" ht="12">
      <c r="A722" s="41">
        <v>1</v>
      </c>
      <c r="C722" s="4" t="s">
        <v>36</v>
      </c>
      <c r="E722" s="41">
        <v>1</v>
      </c>
      <c r="F722" s="27"/>
      <c r="G722" s="180">
        <v>78.58</v>
      </c>
      <c r="H722" s="179">
        <f>3631950+3837070</f>
        <v>7469020</v>
      </c>
      <c r="I722" s="180">
        <f>J722/98275</f>
        <v>76.51326380055966</v>
      </c>
      <c r="J722" s="179">
        <f>3292270+107224+12300+4107547</f>
        <v>7519341</v>
      </c>
      <c r="K722" s="179"/>
      <c r="L722" s="180">
        <f>1.6+31.68+6+33.34+0.2+0.2+0.69+0.28+0.22</f>
        <v>74.21000000000001</v>
      </c>
      <c r="M722" s="179">
        <f>3475678+58236+4370232+143162+104121</f>
        <v>8151429</v>
      </c>
      <c r="O722" s="109"/>
    </row>
    <row r="723" spans="1:15" s="5" customFormat="1" ht="12">
      <c r="A723" s="41">
        <v>2</v>
      </c>
      <c r="C723" s="4" t="s">
        <v>37</v>
      </c>
      <c r="E723" s="41">
        <v>2</v>
      </c>
      <c r="F723" s="27"/>
      <c r="G723" s="180"/>
      <c r="H723" s="179">
        <f>858946-74538+713522</f>
        <v>1497930</v>
      </c>
      <c r="I723" s="180"/>
      <c r="J723" s="179">
        <f>755185+8384+44+805675</f>
        <v>1569288</v>
      </c>
      <c r="K723" s="179"/>
      <c r="L723" s="180"/>
      <c r="M723" s="179">
        <f>825605+4456+850956+28143+22513</f>
        <v>1731673</v>
      </c>
      <c r="O723" s="109"/>
    </row>
    <row r="724" spans="1:15" s="5" customFormat="1" ht="12">
      <c r="A724" s="41">
        <v>3</v>
      </c>
      <c r="C724" s="4"/>
      <c r="E724" s="41">
        <v>3</v>
      </c>
      <c r="F724" s="27"/>
      <c r="G724" s="180">
        <v>1.9</v>
      </c>
      <c r="H724" s="179">
        <f>51463+68775+3083</f>
        <v>123321</v>
      </c>
      <c r="I724" s="180"/>
      <c r="J724" s="252"/>
      <c r="K724" s="252"/>
      <c r="L724" s="180"/>
      <c r="M724" s="252">
        <v>0</v>
      </c>
      <c r="O724" s="109"/>
    </row>
    <row r="725" spans="1:18" s="5" customFormat="1" ht="12">
      <c r="A725" s="41">
        <v>4</v>
      </c>
      <c r="C725" s="4" t="s">
        <v>23</v>
      </c>
      <c r="E725" s="41">
        <v>4</v>
      </c>
      <c r="F725" s="27"/>
      <c r="G725" s="89">
        <f>+G724+G722</f>
        <v>80.48</v>
      </c>
      <c r="H725" s="86">
        <f>SUM(H722:H724)</f>
        <v>9090271</v>
      </c>
      <c r="I725" s="89">
        <f>+I724+I722</f>
        <v>76.51326380055966</v>
      </c>
      <c r="J725" s="86">
        <f>SUM(J722:J724)</f>
        <v>9088629</v>
      </c>
      <c r="K725" s="86"/>
      <c r="L725" s="89">
        <f>+L724+L722</f>
        <v>74.21000000000001</v>
      </c>
      <c r="M725" s="86">
        <f>SUM(M722:M724)</f>
        <v>9883102</v>
      </c>
      <c r="O725" s="109"/>
      <c r="R725" s="253"/>
    </row>
    <row r="726" spans="1:15" s="5" customFormat="1" ht="12">
      <c r="A726" s="41">
        <v>5</v>
      </c>
      <c r="E726" s="41">
        <v>5</v>
      </c>
      <c r="F726" s="27"/>
      <c r="G726" s="89"/>
      <c r="H726" s="86"/>
      <c r="I726" s="89"/>
      <c r="J726" s="86"/>
      <c r="K726" s="86"/>
      <c r="L726" s="89"/>
      <c r="M726" s="86"/>
      <c r="O726" s="109"/>
    </row>
    <row r="727" spans="1:15" s="5" customFormat="1" ht="12">
      <c r="A727" s="41">
        <v>6</v>
      </c>
      <c r="E727" s="41">
        <v>6</v>
      </c>
      <c r="F727" s="27"/>
      <c r="G727" s="89"/>
      <c r="H727" s="86"/>
      <c r="I727" s="89"/>
      <c r="J727" s="86"/>
      <c r="K727" s="86"/>
      <c r="L727" s="89"/>
      <c r="M727" s="86"/>
      <c r="O727" s="109"/>
    </row>
    <row r="728" spans="1:15" s="5" customFormat="1" ht="12">
      <c r="A728" s="41">
        <v>7</v>
      </c>
      <c r="C728" s="4" t="s">
        <v>25</v>
      </c>
      <c r="E728" s="41">
        <v>7</v>
      </c>
      <c r="F728" s="27"/>
      <c r="G728" s="180">
        <f>1.21+4.04+28.54+7.23+10.04+10.1+2.07-2.36</f>
        <v>60.87</v>
      </c>
      <c r="H728" s="179">
        <v>2896681</v>
      </c>
      <c r="I728" s="180">
        <f>J728/48848</f>
        <v>64.27298968227973</v>
      </c>
      <c r="J728" s="179">
        <v>3139607</v>
      </c>
      <c r="K728" s="179"/>
      <c r="L728" s="180">
        <f>73-0.88+0.2-3.07+0.48</f>
        <v>69.73000000000002</v>
      </c>
      <c r="M728" s="179">
        <f>3625477+102215</f>
        <v>3727692</v>
      </c>
      <c r="O728" s="109"/>
    </row>
    <row r="729" spans="1:15" s="5" customFormat="1" ht="12">
      <c r="A729" s="41">
        <v>8</v>
      </c>
      <c r="C729" s="4" t="s">
        <v>26</v>
      </c>
      <c r="E729" s="41">
        <v>8</v>
      </c>
      <c r="F729" s="27"/>
      <c r="G729" s="180"/>
      <c r="H729" s="179">
        <f>585871-27457</f>
        <v>558414</v>
      </c>
      <c r="I729" s="180"/>
      <c r="J729" s="179">
        <v>679391</v>
      </c>
      <c r="K729" s="179"/>
      <c r="L729" s="180"/>
      <c r="M729" s="179">
        <f>857299+26409</f>
        <v>883708</v>
      </c>
      <c r="O729" s="109"/>
    </row>
    <row r="730" spans="1:15" s="5" customFormat="1" ht="12">
      <c r="A730" s="41">
        <v>9</v>
      </c>
      <c r="C730" s="4" t="s">
        <v>27</v>
      </c>
      <c r="E730" s="41">
        <v>9</v>
      </c>
      <c r="F730" s="27"/>
      <c r="G730" s="89">
        <f>G728</f>
        <v>60.87</v>
      </c>
      <c r="H730" s="86">
        <f>SUM(H728:H729)</f>
        <v>3455095</v>
      </c>
      <c r="I730" s="89">
        <f>I728</f>
        <v>64.27298968227973</v>
      </c>
      <c r="J730" s="86">
        <f>SUM(J728:J729)</f>
        <v>3818998</v>
      </c>
      <c r="K730" s="86"/>
      <c r="L730" s="89">
        <f>L728</f>
        <v>69.73000000000002</v>
      </c>
      <c r="M730" s="86">
        <f>SUM(M728:M729)</f>
        <v>4611400</v>
      </c>
      <c r="O730" s="109"/>
    </row>
    <row r="731" spans="1:15" s="5" customFormat="1" ht="12">
      <c r="A731" s="41">
        <v>10</v>
      </c>
      <c r="E731" s="41">
        <v>10</v>
      </c>
      <c r="F731" s="27"/>
      <c r="G731" s="89"/>
      <c r="H731" s="86"/>
      <c r="I731" s="89"/>
      <c r="J731" s="86"/>
      <c r="K731" s="86"/>
      <c r="L731" s="89"/>
      <c r="M731" s="86"/>
      <c r="O731" s="109"/>
    </row>
    <row r="732" spans="1:15" s="5" customFormat="1" ht="12">
      <c r="A732" s="41">
        <v>11</v>
      </c>
      <c r="C732" s="4" t="s">
        <v>28</v>
      </c>
      <c r="E732" s="41">
        <v>11</v>
      </c>
      <c r="G732" s="89">
        <f>SUM(G730,G725)</f>
        <v>141.35</v>
      </c>
      <c r="H732" s="86">
        <f>SUM(H730,H725)</f>
        <v>12545366</v>
      </c>
      <c r="I732" s="89">
        <f>SUM(I730,I725)</f>
        <v>140.78625348283938</v>
      </c>
      <c r="J732" s="86">
        <f>SUM(J730,J725)</f>
        <v>12907627</v>
      </c>
      <c r="K732" s="86"/>
      <c r="L732" s="89">
        <f>SUM(L730,L725)</f>
        <v>143.94000000000003</v>
      </c>
      <c r="M732" s="86">
        <f>SUM(M730,M725)</f>
        <v>14494502</v>
      </c>
      <c r="O732" s="109"/>
    </row>
    <row r="733" spans="1:15" s="5" customFormat="1" ht="12">
      <c r="A733" s="41">
        <v>12</v>
      </c>
      <c r="E733" s="41">
        <v>12</v>
      </c>
      <c r="H733" s="86"/>
      <c r="J733" s="86"/>
      <c r="K733" s="86"/>
      <c r="M733" s="86"/>
      <c r="O733" s="109"/>
    </row>
    <row r="734" spans="1:15" s="5" customFormat="1" ht="12">
      <c r="A734" s="41">
        <v>13</v>
      </c>
      <c r="C734" s="4" t="s">
        <v>38</v>
      </c>
      <c r="E734" s="41">
        <v>13</v>
      </c>
      <c r="F734" s="27"/>
      <c r="G734" s="180">
        <v>4.6</v>
      </c>
      <c r="H734" s="179">
        <f>142671+902</f>
        <v>143573</v>
      </c>
      <c r="I734" s="180">
        <f>J734/28188</f>
        <v>5.575918830708103</v>
      </c>
      <c r="J734" s="179">
        <f>156348+826</f>
        <v>157174</v>
      </c>
      <c r="K734" s="179"/>
      <c r="L734" s="180">
        <f>0.08+0.85+0.03</f>
        <v>0.96</v>
      </c>
      <c r="M734" s="179">
        <v>25876</v>
      </c>
      <c r="O734" s="109"/>
    </row>
    <row r="735" spans="1:15" s="5" customFormat="1" ht="12">
      <c r="A735" s="41">
        <v>14</v>
      </c>
      <c r="E735" s="41">
        <v>14</v>
      </c>
      <c r="F735" s="27"/>
      <c r="G735" s="179"/>
      <c r="H735" s="179"/>
      <c r="I735" s="179"/>
      <c r="J735" s="179"/>
      <c r="K735" s="179"/>
      <c r="L735" s="179"/>
      <c r="M735" s="179"/>
      <c r="O735" s="109"/>
    </row>
    <row r="736" spans="1:15" s="5" customFormat="1" ht="12">
      <c r="A736" s="41">
        <v>15</v>
      </c>
      <c r="C736" s="4" t="s">
        <v>30</v>
      </c>
      <c r="E736" s="41">
        <v>15</v>
      </c>
      <c r="F736" s="27"/>
      <c r="G736" s="180"/>
      <c r="H736" s="179">
        <v>117372</v>
      </c>
      <c r="I736" s="180"/>
      <c r="J736" s="179">
        <v>148165</v>
      </c>
      <c r="K736" s="179"/>
      <c r="L736" s="180"/>
      <c r="M736" s="179">
        <v>78071</v>
      </c>
      <c r="O736" s="109"/>
    </row>
    <row r="737" spans="1:15" s="5" customFormat="1" ht="12">
      <c r="A737" s="41">
        <v>16</v>
      </c>
      <c r="C737" s="4" t="s">
        <v>31</v>
      </c>
      <c r="E737" s="41">
        <v>16</v>
      </c>
      <c r="F737" s="27"/>
      <c r="G737" s="180"/>
      <c r="H737" s="179">
        <f>-7563+4718950-269001-222138</f>
        <v>4220248</v>
      </c>
      <c r="I737" s="180"/>
      <c r="J737" s="179">
        <f>18348+3903649-323552-229631</f>
        <v>3368814</v>
      </c>
      <c r="K737" s="179"/>
      <c r="L737" s="180"/>
      <c r="M737" s="179">
        <f>2759913-364369-71106+2403644-129708-17530-124575-1107-8231</f>
        <v>4446931</v>
      </c>
      <c r="O737" s="109"/>
    </row>
    <row r="738" spans="1:15" s="5" customFormat="1" ht="12">
      <c r="A738" s="41">
        <v>17</v>
      </c>
      <c r="C738" s="4" t="s">
        <v>32</v>
      </c>
      <c r="E738" s="41">
        <v>17</v>
      </c>
      <c r="F738" s="27"/>
      <c r="G738" s="180"/>
      <c r="H738" s="179">
        <f>148161-148161</f>
        <v>0</v>
      </c>
      <c r="I738" s="180"/>
      <c r="J738" s="179"/>
      <c r="K738" s="179"/>
      <c r="L738" s="180"/>
      <c r="M738" s="179"/>
      <c r="O738" s="109"/>
    </row>
    <row r="739" spans="1:15" s="5" customFormat="1" ht="12">
      <c r="A739" s="41">
        <v>18</v>
      </c>
      <c r="C739" s="4" t="s">
        <v>40</v>
      </c>
      <c r="E739" s="41">
        <v>18</v>
      </c>
      <c r="F739" s="27"/>
      <c r="G739" s="180"/>
      <c r="H739" s="179">
        <f>1744781-1590065</f>
        <v>154716</v>
      </c>
      <c r="I739" s="180"/>
      <c r="J739" s="179">
        <f>1388876+15772-1179540</f>
        <v>225108</v>
      </c>
      <c r="K739" s="179"/>
      <c r="L739" s="180"/>
      <c r="M739" s="179">
        <f>1654357-1378864</f>
        <v>275493</v>
      </c>
      <c r="O739" s="109"/>
    </row>
    <row r="740" spans="1:15" s="5" customFormat="1" ht="12">
      <c r="A740" s="41">
        <v>19</v>
      </c>
      <c r="C740" s="4" t="s">
        <v>42</v>
      </c>
      <c r="E740" s="41">
        <v>19</v>
      </c>
      <c r="F740" s="241"/>
      <c r="G740" s="241"/>
      <c r="H740" s="241"/>
      <c r="I740" s="241"/>
      <c r="J740" s="241"/>
      <c r="K740" s="241"/>
      <c r="L740" s="241"/>
      <c r="M740" s="241"/>
      <c r="O740" s="109"/>
    </row>
    <row r="741" spans="1:15" s="5" customFormat="1" ht="12">
      <c r="A741" s="41">
        <v>20</v>
      </c>
      <c r="C741" s="4" t="s">
        <v>115</v>
      </c>
      <c r="E741" s="41">
        <v>20</v>
      </c>
      <c r="F741" s="241"/>
      <c r="G741" s="241"/>
      <c r="H741" s="241">
        <v>0</v>
      </c>
      <c r="I741" s="241"/>
      <c r="J741" s="241"/>
      <c r="K741" s="241"/>
      <c r="L741" s="241"/>
      <c r="M741" s="241"/>
      <c r="O741" s="109"/>
    </row>
    <row r="742" spans="1:15" s="5" customFormat="1" ht="12">
      <c r="A742" s="41">
        <v>21</v>
      </c>
      <c r="E742" s="41">
        <v>21</v>
      </c>
      <c r="F742" s="24"/>
      <c r="G742" s="24"/>
      <c r="H742" s="86"/>
      <c r="I742" s="24"/>
      <c r="J742" s="86"/>
      <c r="K742" s="86"/>
      <c r="L742" s="24"/>
      <c r="M742" s="86"/>
      <c r="O742" s="109"/>
    </row>
    <row r="743" spans="1:15" s="5" customFormat="1" ht="12">
      <c r="A743" s="41">
        <v>22</v>
      </c>
      <c r="E743" s="41">
        <v>22</v>
      </c>
      <c r="G743" s="89"/>
      <c r="H743" s="86"/>
      <c r="I743" s="89"/>
      <c r="J743" s="86"/>
      <c r="K743" s="86"/>
      <c r="L743" s="89"/>
      <c r="M743" s="86"/>
      <c r="O743" s="109"/>
    </row>
    <row r="744" spans="1:15" s="5" customFormat="1" ht="12">
      <c r="A744" s="41">
        <v>23</v>
      </c>
      <c r="D744" s="47"/>
      <c r="E744" s="41">
        <v>23</v>
      </c>
      <c r="H744" s="86"/>
      <c r="J744" s="86"/>
      <c r="K744" s="86"/>
      <c r="M744" s="86"/>
      <c r="N744" s="192"/>
      <c r="O744" s="109"/>
    </row>
    <row r="745" spans="1:15" s="5" customFormat="1" ht="12">
      <c r="A745" s="41">
        <v>24</v>
      </c>
      <c r="D745" s="47"/>
      <c r="E745" s="41">
        <v>24</v>
      </c>
      <c r="H745" s="86"/>
      <c r="J745" s="86"/>
      <c r="K745" s="86"/>
      <c r="M745" s="86"/>
      <c r="O745" s="109"/>
    </row>
    <row r="746" spans="5:15" s="5" customFormat="1" ht="12">
      <c r="E746" s="38"/>
      <c r="F746" s="24" t="s">
        <v>1</v>
      </c>
      <c r="G746" s="24" t="s">
        <v>1</v>
      </c>
      <c r="H746" s="24" t="s">
        <v>1</v>
      </c>
      <c r="I746" s="24" t="s">
        <v>1</v>
      </c>
      <c r="J746" s="24" t="s">
        <v>1</v>
      </c>
      <c r="K746" s="24"/>
      <c r="L746" s="24" t="s">
        <v>1</v>
      </c>
      <c r="M746" s="24" t="s">
        <v>1</v>
      </c>
      <c r="O746" s="109"/>
    </row>
    <row r="747" spans="1:15" s="5" customFormat="1" ht="18" customHeight="1">
      <c r="A747" s="41">
        <v>25</v>
      </c>
      <c r="C747" s="4" t="s">
        <v>270</v>
      </c>
      <c r="E747" s="38">
        <v>25</v>
      </c>
      <c r="G747" s="77">
        <f>SUM(G732:G743)</f>
        <v>145.95</v>
      </c>
      <c r="H747" s="86">
        <f>SUM(H732:H743)</f>
        <v>17181275</v>
      </c>
      <c r="I747" s="77">
        <f>SUM(I732:I743)</f>
        <v>146.3621723135475</v>
      </c>
      <c r="J747" s="86">
        <f>SUM(J732:J743)</f>
        <v>16806888</v>
      </c>
      <c r="K747" s="86"/>
      <c r="L747" s="77">
        <f>SUM(L732:L743)</f>
        <v>144.90000000000003</v>
      </c>
      <c r="M747" s="86">
        <f>SUM(M732:M743)</f>
        <v>19320873</v>
      </c>
      <c r="N747" s="192"/>
      <c r="O747" s="109"/>
    </row>
    <row r="748" spans="5:15" s="5" customFormat="1" ht="12">
      <c r="E748" s="38"/>
      <c r="F748" s="24" t="s">
        <v>1</v>
      </c>
      <c r="G748" s="24" t="s">
        <v>1</v>
      </c>
      <c r="H748" s="24" t="s">
        <v>1</v>
      </c>
      <c r="I748" s="24" t="s">
        <v>1</v>
      </c>
      <c r="J748" s="24" t="s">
        <v>1</v>
      </c>
      <c r="K748" s="24"/>
      <c r="L748" s="24" t="s">
        <v>1</v>
      </c>
      <c r="M748" s="24" t="s">
        <v>1</v>
      </c>
      <c r="O748" s="109"/>
    </row>
    <row r="749" spans="1:15" s="5" customFormat="1" ht="12">
      <c r="A749" s="4"/>
      <c r="H749" s="192"/>
      <c r="J749" s="192"/>
      <c r="K749" s="192"/>
      <c r="M749" s="192"/>
      <c r="O749" s="109"/>
    </row>
    <row r="750" spans="10:15" s="5" customFormat="1" ht="12">
      <c r="J750" s="192"/>
      <c r="K750" s="192"/>
      <c r="M750" s="192"/>
      <c r="O750" s="109"/>
    </row>
    <row r="751" spans="10:15" s="5" customFormat="1" ht="12">
      <c r="J751" s="192"/>
      <c r="K751" s="192"/>
      <c r="M751" s="192"/>
      <c r="O751" s="109"/>
    </row>
    <row r="752" spans="1:15" s="5" customFormat="1" ht="12">
      <c r="A752" s="68" t="str">
        <f>+A82</f>
        <v>Institution No.:  GFE </v>
      </c>
      <c r="E752" s="38"/>
      <c r="G752" s="71"/>
      <c r="H752" s="86"/>
      <c r="I752" s="71"/>
      <c r="J752" s="189"/>
      <c r="K752" s="189"/>
      <c r="L752" s="71"/>
      <c r="M752" s="189" t="s">
        <v>41</v>
      </c>
      <c r="O752" s="109"/>
    </row>
    <row r="753" spans="1:15" s="5" customFormat="1" ht="12">
      <c r="A753" s="428" t="s">
        <v>163</v>
      </c>
      <c r="B753" s="428"/>
      <c r="C753" s="428"/>
      <c r="D753" s="428"/>
      <c r="E753" s="428"/>
      <c r="F753" s="428"/>
      <c r="G753" s="428"/>
      <c r="H753" s="428"/>
      <c r="I753" s="428"/>
      <c r="J753" s="428"/>
      <c r="K753" s="73"/>
      <c r="O753" s="109"/>
    </row>
    <row r="754" spans="1:15" s="5" customFormat="1" ht="12">
      <c r="A754" s="68" t="str">
        <f>+A84</f>
        <v>NAME:  University of Colorado - HSC</v>
      </c>
      <c r="G754" s="7"/>
      <c r="H754" s="219"/>
      <c r="I754" s="71"/>
      <c r="J754" s="190"/>
      <c r="K754" s="190"/>
      <c r="L754" s="71"/>
      <c r="M754" s="190" t="str">
        <f>+M84</f>
        <v>Date:  10-07</v>
      </c>
      <c r="O754" s="109"/>
    </row>
    <row r="755" spans="1:15" s="5" customFormat="1" ht="12">
      <c r="A755" s="15" t="s">
        <v>1</v>
      </c>
      <c r="B755" s="15" t="s">
        <v>1</v>
      </c>
      <c r="C755" s="15" t="s">
        <v>1</v>
      </c>
      <c r="D755" s="15" t="s">
        <v>1</v>
      </c>
      <c r="E755" s="15" t="s">
        <v>1</v>
      </c>
      <c r="F755" s="15" t="s">
        <v>1</v>
      </c>
      <c r="G755" s="15" t="s">
        <v>1</v>
      </c>
      <c r="H755" s="15" t="s">
        <v>1</v>
      </c>
      <c r="I755" s="15" t="s">
        <v>1</v>
      </c>
      <c r="J755" s="15" t="s">
        <v>1</v>
      </c>
      <c r="K755" s="15"/>
      <c r="L755" s="15" t="s">
        <v>1</v>
      </c>
      <c r="M755" s="15" t="s">
        <v>1</v>
      </c>
      <c r="O755" s="109"/>
    </row>
    <row r="756" spans="1:15" s="5" customFormat="1" ht="12">
      <c r="A756" s="73" t="s">
        <v>2</v>
      </c>
      <c r="E756" s="73" t="s">
        <v>2</v>
      </c>
      <c r="F756" s="1"/>
      <c r="G756" s="123"/>
      <c r="H756" s="123" t="str">
        <f>$H$86</f>
        <v>2005-06</v>
      </c>
      <c r="I756" s="123"/>
      <c r="J756" s="123" t="str">
        <f>$J$86</f>
        <v>2006-07</v>
      </c>
      <c r="K756" s="123"/>
      <c r="L756" s="123"/>
      <c r="M756" s="123" t="str">
        <f>$M$86</f>
        <v>2007-08</v>
      </c>
      <c r="O756" s="109"/>
    </row>
    <row r="757" spans="1:15" s="5" customFormat="1" ht="12">
      <c r="A757" s="73" t="s">
        <v>4</v>
      </c>
      <c r="C757" s="74" t="s">
        <v>20</v>
      </c>
      <c r="E757" s="73" t="s">
        <v>4</v>
      </c>
      <c r="F757" s="1"/>
      <c r="G757" s="178" t="s">
        <v>21</v>
      </c>
      <c r="H757" s="123" t="s">
        <v>7</v>
      </c>
      <c r="I757" s="178" t="s">
        <v>21</v>
      </c>
      <c r="J757" s="123" t="s">
        <v>7</v>
      </c>
      <c r="K757" s="123"/>
      <c r="L757" s="178" t="s">
        <v>21</v>
      </c>
      <c r="M757" s="123" t="s">
        <v>8</v>
      </c>
      <c r="O757" s="109"/>
    </row>
    <row r="758" spans="1:15" s="5" customFormat="1" ht="12">
      <c r="A758" s="15" t="s">
        <v>1</v>
      </c>
      <c r="B758" s="15" t="s">
        <v>1</v>
      </c>
      <c r="C758" s="15" t="s">
        <v>1</v>
      </c>
      <c r="D758" s="15" t="s">
        <v>1</v>
      </c>
      <c r="E758" s="15" t="s">
        <v>1</v>
      </c>
      <c r="F758" s="15" t="s">
        <v>1</v>
      </c>
      <c r="G758" s="15" t="s">
        <v>1</v>
      </c>
      <c r="H758" s="15" t="s">
        <v>1</v>
      </c>
      <c r="I758" s="15" t="s">
        <v>1</v>
      </c>
      <c r="J758" s="176" t="s">
        <v>1</v>
      </c>
      <c r="K758" s="176"/>
      <c r="L758" s="15" t="s">
        <v>1</v>
      </c>
      <c r="M758" s="176" t="s">
        <v>1</v>
      </c>
      <c r="O758" s="109"/>
    </row>
    <row r="759" spans="1:15" s="5" customFormat="1" ht="12">
      <c r="A759" s="41">
        <v>1</v>
      </c>
      <c r="C759" s="4" t="s">
        <v>36</v>
      </c>
      <c r="E759" s="41">
        <v>1</v>
      </c>
      <c r="F759" s="27"/>
      <c r="G759" s="180">
        <v>5.32</v>
      </c>
      <c r="H759" s="179">
        <v>423720</v>
      </c>
      <c r="I759" s="180">
        <f>J759/82485</f>
        <v>4.2587743226041095</v>
      </c>
      <c r="J759" s="179">
        <v>351285</v>
      </c>
      <c r="K759" s="179"/>
      <c r="L759" s="180">
        <f>3.75+4.05</f>
        <v>7.8</v>
      </c>
      <c r="M759" s="179">
        <f>280336+252281</f>
        <v>532617</v>
      </c>
      <c r="O759" s="109"/>
    </row>
    <row r="760" spans="1:15" s="5" customFormat="1" ht="12">
      <c r="A760" s="41">
        <v>2</v>
      </c>
      <c r="C760" s="4" t="s">
        <v>37</v>
      </c>
      <c r="E760" s="41">
        <v>2</v>
      </c>
      <c r="F760" s="27"/>
      <c r="G760" s="180"/>
      <c r="H760" s="179">
        <f>4863+83752-4863</f>
        <v>83752</v>
      </c>
      <c r="I760" s="180"/>
      <c r="J760" s="179">
        <v>90317</v>
      </c>
      <c r="K760" s="179"/>
      <c r="L760" s="180"/>
      <c r="M760" s="179">
        <f>81785+67993</f>
        <v>149778</v>
      </c>
      <c r="O760" s="109"/>
    </row>
    <row r="761" spans="1:15" s="5" customFormat="1" ht="12">
      <c r="A761" s="41">
        <v>3</v>
      </c>
      <c r="E761" s="41">
        <v>3</v>
      </c>
      <c r="F761" s="27"/>
      <c r="G761" s="180"/>
      <c r="H761" s="179"/>
      <c r="I761" s="180"/>
      <c r="J761" s="179"/>
      <c r="K761" s="179"/>
      <c r="L761" s="180"/>
      <c r="M761" s="179"/>
      <c r="O761" s="109"/>
    </row>
    <row r="762" spans="1:15" s="5" customFormat="1" ht="12">
      <c r="A762" s="41">
        <v>4</v>
      </c>
      <c r="C762" s="4" t="s">
        <v>23</v>
      </c>
      <c r="E762" s="41">
        <v>4</v>
      </c>
      <c r="F762" s="27"/>
      <c r="G762" s="89">
        <f>G759</f>
        <v>5.32</v>
      </c>
      <c r="H762" s="86">
        <f>SUM(H759:H760)</f>
        <v>507472</v>
      </c>
      <c r="I762" s="89">
        <f>I759</f>
        <v>4.2587743226041095</v>
      </c>
      <c r="J762" s="86">
        <f>SUM(J759:J760)</f>
        <v>441602</v>
      </c>
      <c r="K762" s="86"/>
      <c r="L762" s="89">
        <f>L759</f>
        <v>7.8</v>
      </c>
      <c r="M762" s="86">
        <f>SUM(M759:M760)</f>
        <v>682395</v>
      </c>
      <c r="O762" s="109"/>
    </row>
    <row r="763" spans="1:15" s="5" customFormat="1" ht="12">
      <c r="A763" s="41">
        <v>5</v>
      </c>
      <c r="E763" s="41">
        <v>5</v>
      </c>
      <c r="F763" s="27"/>
      <c r="G763" s="89"/>
      <c r="H763" s="86"/>
      <c r="I763" s="89"/>
      <c r="J763" s="86"/>
      <c r="K763" s="86"/>
      <c r="L763" s="89"/>
      <c r="M763" s="86"/>
      <c r="O763" s="109"/>
    </row>
    <row r="764" spans="1:15" s="5" customFormat="1" ht="12">
      <c r="A764" s="41">
        <v>6</v>
      </c>
      <c r="E764" s="41">
        <v>6</v>
      </c>
      <c r="F764" s="27"/>
      <c r="G764" s="89"/>
      <c r="H764" s="86"/>
      <c r="I764" s="89"/>
      <c r="J764" s="86"/>
      <c r="K764" s="86"/>
      <c r="L764" s="89"/>
      <c r="M764" s="86"/>
      <c r="O764" s="109"/>
    </row>
    <row r="765" spans="1:15" s="5" customFormat="1" ht="12">
      <c r="A765" s="41">
        <v>7</v>
      </c>
      <c r="C765" s="4" t="s">
        <v>25</v>
      </c>
      <c r="E765" s="41">
        <v>7</v>
      </c>
      <c r="F765" s="27"/>
      <c r="G765" s="180">
        <v>27</v>
      </c>
      <c r="H765" s="179">
        <v>1414981</v>
      </c>
      <c r="I765" s="180">
        <f>J765/53878</f>
        <v>22.146274917405993</v>
      </c>
      <c r="J765" s="179">
        <v>1193197</v>
      </c>
      <c r="K765" s="179"/>
      <c r="L765" s="180">
        <f>6+14.9</f>
        <v>20.9</v>
      </c>
      <c r="M765" s="179">
        <f>203948+865164</f>
        <v>1069112</v>
      </c>
      <c r="O765" s="109"/>
    </row>
    <row r="766" spans="1:15" s="5" customFormat="1" ht="12">
      <c r="A766" s="41">
        <v>8</v>
      </c>
      <c r="C766" s="4" t="s">
        <v>26</v>
      </c>
      <c r="E766" s="41">
        <v>8</v>
      </c>
      <c r="F766" s="27"/>
      <c r="G766" s="180"/>
      <c r="H766" s="179">
        <f>285622-19139</f>
        <v>266483</v>
      </c>
      <c r="I766" s="180"/>
      <c r="J766" s="179">
        <v>255782</v>
      </c>
      <c r="K766" s="179"/>
      <c r="L766" s="180"/>
      <c r="M766" s="179">
        <f>56875+195062</f>
        <v>251937</v>
      </c>
      <c r="O766" s="109"/>
    </row>
    <row r="767" spans="1:15" s="5" customFormat="1" ht="12">
      <c r="A767" s="41">
        <v>9</v>
      </c>
      <c r="C767" s="4" t="s">
        <v>27</v>
      </c>
      <c r="E767" s="41">
        <v>9</v>
      </c>
      <c r="F767" s="27"/>
      <c r="G767" s="77">
        <f>G765</f>
        <v>27</v>
      </c>
      <c r="H767" s="86">
        <f>SUM(H765:H766)</f>
        <v>1681464</v>
      </c>
      <c r="I767" s="77">
        <f>I765</f>
        <v>22.146274917405993</v>
      </c>
      <c r="J767" s="86">
        <f>SUM(J765:J766)</f>
        <v>1448979</v>
      </c>
      <c r="K767" s="86"/>
      <c r="L767" s="77">
        <f>L765</f>
        <v>20.9</v>
      </c>
      <c r="M767" s="86">
        <f>SUM(M765:M766)</f>
        <v>1321049</v>
      </c>
      <c r="O767" s="109"/>
    </row>
    <row r="768" spans="1:15" s="5" customFormat="1" ht="12">
      <c r="A768" s="41">
        <v>10</v>
      </c>
      <c r="E768" s="41">
        <v>10</v>
      </c>
      <c r="F768" s="27"/>
      <c r="G768" s="89"/>
      <c r="H768" s="86"/>
      <c r="I768" s="89"/>
      <c r="J768" s="86"/>
      <c r="K768" s="86"/>
      <c r="L768" s="89"/>
      <c r="M768" s="86"/>
      <c r="O768" s="109"/>
    </row>
    <row r="769" spans="1:15" s="5" customFormat="1" ht="12">
      <c r="A769" s="41">
        <v>11</v>
      </c>
      <c r="C769" s="4" t="s">
        <v>28</v>
      </c>
      <c r="E769" s="41">
        <v>11</v>
      </c>
      <c r="G769" s="89">
        <f>SUM(G767,G762)</f>
        <v>32.32</v>
      </c>
      <c r="H769" s="86">
        <f>SUM(H767,H762)</f>
        <v>2188936</v>
      </c>
      <c r="I769" s="89">
        <f>SUM(I767,I762)</f>
        <v>26.4050492400101</v>
      </c>
      <c r="J769" s="86">
        <f>SUM(J767,J762)</f>
        <v>1890581</v>
      </c>
      <c r="K769" s="86"/>
      <c r="L769" s="89">
        <f>SUM(L767,L762)</f>
        <v>28.7</v>
      </c>
      <c r="M769" s="86">
        <f>SUM(M767,M762)</f>
        <v>2003444</v>
      </c>
      <c r="O769" s="109"/>
    </row>
    <row r="770" spans="1:15" s="5" customFormat="1" ht="12">
      <c r="A770" s="41">
        <v>12</v>
      </c>
      <c r="E770" s="41">
        <v>12</v>
      </c>
      <c r="O770" s="109"/>
    </row>
    <row r="771" spans="1:15" s="5" customFormat="1" ht="12">
      <c r="A771" s="41">
        <v>13</v>
      </c>
      <c r="C771" s="4" t="s">
        <v>38</v>
      </c>
      <c r="E771" s="41">
        <v>13</v>
      </c>
      <c r="F771" s="27"/>
      <c r="G771" s="180">
        <v>1.3</v>
      </c>
      <c r="H771" s="179">
        <f>40353+155</f>
        <v>40508</v>
      </c>
      <c r="I771" s="180">
        <f>J771/24680</f>
        <v>0.48128038897893033</v>
      </c>
      <c r="J771" s="179">
        <f>11686+192</f>
        <v>11878</v>
      </c>
      <c r="K771" s="179"/>
      <c r="L771" s="180">
        <f>0.11</f>
        <v>0.11</v>
      </c>
      <c r="M771" s="179">
        <f>3000+6282+266</f>
        <v>9548</v>
      </c>
      <c r="O771" s="109"/>
    </row>
    <row r="772" spans="1:15" s="5" customFormat="1" ht="12">
      <c r="A772" s="41">
        <v>14</v>
      </c>
      <c r="E772" s="41">
        <v>14</v>
      </c>
      <c r="F772" s="27"/>
      <c r="G772" s="180"/>
      <c r="H772" s="27"/>
      <c r="I772" s="180"/>
      <c r="J772" s="27"/>
      <c r="K772" s="27"/>
      <c r="L772" s="180"/>
      <c r="M772" s="27"/>
      <c r="O772" s="109"/>
    </row>
    <row r="773" spans="1:15" s="5" customFormat="1" ht="12">
      <c r="A773" s="41">
        <v>15</v>
      </c>
      <c r="C773" s="4" t="s">
        <v>30</v>
      </c>
      <c r="E773" s="41">
        <v>15</v>
      </c>
      <c r="F773" s="27"/>
      <c r="G773" s="180"/>
      <c r="H773" s="241">
        <v>3872</v>
      </c>
      <c r="I773" s="180"/>
      <c r="J773" s="241">
        <v>5882</v>
      </c>
      <c r="K773" s="241"/>
      <c r="L773" s="180"/>
      <c r="M773" s="241">
        <v>7800</v>
      </c>
      <c r="O773" s="109"/>
    </row>
    <row r="774" spans="1:15" s="5" customFormat="1" ht="12">
      <c r="A774" s="41">
        <v>16</v>
      </c>
      <c r="C774" s="4" t="s">
        <v>31</v>
      </c>
      <c r="E774" s="41">
        <v>16</v>
      </c>
      <c r="F774" s="27"/>
      <c r="G774" s="180"/>
      <c r="H774" s="179">
        <f>199098+26</f>
        <v>199124</v>
      </c>
      <c r="I774" s="180"/>
      <c r="J774" s="179">
        <f>120222-19004</f>
        <v>101218</v>
      </c>
      <c r="K774" s="179"/>
      <c r="L774" s="180"/>
      <c r="M774" s="179">
        <f>74890-55243+63528</f>
        <v>83175</v>
      </c>
      <c r="O774" s="109"/>
    </row>
    <row r="775" spans="1:15" s="5" customFormat="1" ht="12">
      <c r="A775" s="41">
        <v>17</v>
      </c>
      <c r="C775" s="4" t="s">
        <v>32</v>
      </c>
      <c r="E775" s="41">
        <v>17</v>
      </c>
      <c r="F775" s="27"/>
      <c r="G775" s="180"/>
      <c r="H775" s="241"/>
      <c r="I775" s="180"/>
      <c r="J775" s="241"/>
      <c r="K775" s="241"/>
      <c r="L775" s="180"/>
      <c r="M775" s="241"/>
      <c r="O775" s="109"/>
    </row>
    <row r="776" spans="1:15" s="5" customFormat="1" ht="12">
      <c r="A776" s="41">
        <v>18</v>
      </c>
      <c r="E776" s="41">
        <v>18</v>
      </c>
      <c r="F776" s="27"/>
      <c r="G776" s="180"/>
      <c r="H776" s="179"/>
      <c r="I776" s="180"/>
      <c r="J776" s="179"/>
      <c r="K776" s="179"/>
      <c r="L776" s="180"/>
      <c r="M776" s="179"/>
      <c r="O776" s="109"/>
    </row>
    <row r="777" spans="1:15" s="5" customFormat="1" ht="12">
      <c r="A777" s="41">
        <v>19</v>
      </c>
      <c r="C777" s="4" t="s">
        <v>42</v>
      </c>
      <c r="E777" s="41">
        <v>19</v>
      </c>
      <c r="F777" s="27"/>
      <c r="G777" s="180"/>
      <c r="H777" s="179"/>
      <c r="I777" s="180"/>
      <c r="J777" s="179"/>
      <c r="K777" s="179"/>
      <c r="L777" s="180"/>
      <c r="M777" s="179"/>
      <c r="O777" s="109"/>
    </row>
    <row r="778" spans="1:15" s="5" customFormat="1" ht="12">
      <c r="A778" s="41">
        <v>20</v>
      </c>
      <c r="E778" s="41">
        <v>20</v>
      </c>
      <c r="F778" s="24"/>
      <c r="G778" s="24"/>
      <c r="H778" s="24"/>
      <c r="I778" s="24"/>
      <c r="J778" s="24"/>
      <c r="K778" s="24"/>
      <c r="L778" s="24"/>
      <c r="M778" s="24"/>
      <c r="O778" s="109"/>
    </row>
    <row r="779" spans="1:15" s="5" customFormat="1" ht="12">
      <c r="A779" s="41">
        <v>21</v>
      </c>
      <c r="E779" s="41">
        <v>21</v>
      </c>
      <c r="F779" s="24"/>
      <c r="G779" s="24"/>
      <c r="H779" s="86"/>
      <c r="I779" s="24"/>
      <c r="J779" s="86"/>
      <c r="K779" s="86"/>
      <c r="L779" s="24"/>
      <c r="M779" s="86"/>
      <c r="O779" s="109"/>
    </row>
    <row r="780" spans="1:15" s="5" customFormat="1" ht="12">
      <c r="A780" s="41">
        <v>22</v>
      </c>
      <c r="E780" s="41">
        <v>22</v>
      </c>
      <c r="G780" s="89"/>
      <c r="H780" s="86"/>
      <c r="I780" s="89"/>
      <c r="J780" s="86"/>
      <c r="K780" s="86"/>
      <c r="L780" s="89"/>
      <c r="M780" s="86"/>
      <c r="O780" s="109"/>
    </row>
    <row r="781" spans="1:15" s="5" customFormat="1" ht="12">
      <c r="A781" s="41">
        <v>23</v>
      </c>
      <c r="D781" s="47"/>
      <c r="E781" s="41">
        <v>23</v>
      </c>
      <c r="H781" s="86"/>
      <c r="J781" s="86"/>
      <c r="K781" s="86"/>
      <c r="M781" s="86"/>
      <c r="O781" s="109"/>
    </row>
    <row r="782" spans="1:15" s="5" customFormat="1" ht="12">
      <c r="A782" s="41">
        <v>24</v>
      </c>
      <c r="D782" s="47"/>
      <c r="E782" s="41">
        <v>24</v>
      </c>
      <c r="H782" s="86"/>
      <c r="J782" s="86"/>
      <c r="K782" s="86"/>
      <c r="M782" s="86"/>
      <c r="O782" s="109"/>
    </row>
    <row r="783" spans="5:15" s="5" customFormat="1" ht="12">
      <c r="E783" s="38"/>
      <c r="F783" s="24" t="s">
        <v>1</v>
      </c>
      <c r="G783" s="24" t="s">
        <v>1</v>
      </c>
      <c r="H783" s="24" t="s">
        <v>1</v>
      </c>
      <c r="I783" s="24" t="s">
        <v>1</v>
      </c>
      <c r="J783" s="24" t="s">
        <v>1</v>
      </c>
      <c r="K783" s="24"/>
      <c r="L783" s="24" t="s">
        <v>1</v>
      </c>
      <c r="M783" s="24" t="s">
        <v>1</v>
      </c>
      <c r="N783" s="192"/>
      <c r="O783" s="109"/>
    </row>
    <row r="784" spans="1:15" s="5" customFormat="1" ht="18" customHeight="1">
      <c r="A784" s="41">
        <v>25</v>
      </c>
      <c r="C784" s="4" t="s">
        <v>271</v>
      </c>
      <c r="E784" s="38">
        <v>25</v>
      </c>
      <c r="G784" s="77">
        <f>SUM(G769:G780)</f>
        <v>33.62</v>
      </c>
      <c r="H784" s="86">
        <f>SUM(H769:H780)</f>
        <v>2432440</v>
      </c>
      <c r="I784" s="77">
        <f>SUM(I769:I780)</f>
        <v>26.88632962898903</v>
      </c>
      <c r="J784" s="86">
        <f>SUM(J769:J780)</f>
        <v>2009559</v>
      </c>
      <c r="K784" s="86"/>
      <c r="L784" s="77">
        <f>SUM(L769:L780)</f>
        <v>28.81</v>
      </c>
      <c r="M784" s="86">
        <f>SUM(M769:M780)</f>
        <v>2103967</v>
      </c>
      <c r="N784" s="192"/>
      <c r="O784" s="109"/>
    </row>
    <row r="785" spans="5:15" s="5" customFormat="1" ht="12">
      <c r="E785" s="38"/>
      <c r="F785" s="24" t="s">
        <v>1</v>
      </c>
      <c r="G785" s="24" t="s">
        <v>1</v>
      </c>
      <c r="H785" s="24" t="s">
        <v>1</v>
      </c>
      <c r="I785" s="24" t="s">
        <v>1</v>
      </c>
      <c r="J785" s="24" t="s">
        <v>1</v>
      </c>
      <c r="K785" s="24"/>
      <c r="L785" s="24" t="s">
        <v>1</v>
      </c>
      <c r="M785" s="24" t="s">
        <v>1</v>
      </c>
      <c r="O785" s="109"/>
    </row>
    <row r="786" spans="8:15" s="5" customFormat="1" ht="12">
      <c r="H786" s="192"/>
      <c r="J786" s="192"/>
      <c r="K786" s="192"/>
      <c r="M786" s="192"/>
      <c r="O786" s="109"/>
    </row>
    <row r="787" spans="1:15" s="5" customFormat="1" ht="12">
      <c r="A787" s="4"/>
      <c r="O787" s="109"/>
    </row>
    <row r="788" spans="1:15" s="5" customFormat="1" ht="12">
      <c r="A788" s="4"/>
      <c r="O788" s="109"/>
    </row>
    <row r="789" spans="1:15" s="5" customFormat="1" ht="12">
      <c r="A789" s="68" t="str">
        <f>+A82</f>
        <v>Institution No.:  GFE </v>
      </c>
      <c r="E789" s="38"/>
      <c r="G789" s="71"/>
      <c r="H789" s="86"/>
      <c r="I789" s="71"/>
      <c r="J789" s="189"/>
      <c r="K789" s="189"/>
      <c r="L789" s="71"/>
      <c r="M789" s="189" t="s">
        <v>43</v>
      </c>
      <c r="O789" s="109"/>
    </row>
    <row r="790" spans="1:15" s="5" customFormat="1" ht="12">
      <c r="A790" s="428" t="s">
        <v>164</v>
      </c>
      <c r="B790" s="428"/>
      <c r="C790" s="428"/>
      <c r="D790" s="428"/>
      <c r="E790" s="428"/>
      <c r="F790" s="428"/>
      <c r="G790" s="428"/>
      <c r="H790" s="428"/>
      <c r="I790" s="428"/>
      <c r="J790" s="428"/>
      <c r="K790" s="73"/>
      <c r="O790" s="109"/>
    </row>
    <row r="791" spans="1:15" s="5" customFormat="1" ht="12">
      <c r="A791" s="68" t="str">
        <f>+A84</f>
        <v>NAME:  University of Colorado - HSC</v>
      </c>
      <c r="F791" s="106"/>
      <c r="G791" s="106"/>
      <c r="H791" s="86"/>
      <c r="I791" s="71"/>
      <c r="J791" s="190"/>
      <c r="K791" s="190"/>
      <c r="L791" s="71"/>
      <c r="M791" s="228" t="str">
        <f>+M84</f>
        <v>Date:  10-07</v>
      </c>
      <c r="O791" s="109"/>
    </row>
    <row r="792" spans="1:15" s="5" customFormat="1" ht="12">
      <c r="A792" s="15" t="s">
        <v>1</v>
      </c>
      <c r="B792" s="15" t="s">
        <v>1</v>
      </c>
      <c r="C792" s="15" t="s">
        <v>1</v>
      </c>
      <c r="D792" s="15" t="s">
        <v>1</v>
      </c>
      <c r="E792" s="15" t="s">
        <v>1</v>
      </c>
      <c r="F792" s="15" t="s">
        <v>1</v>
      </c>
      <c r="G792" s="15" t="s">
        <v>1</v>
      </c>
      <c r="H792" s="15" t="s">
        <v>1</v>
      </c>
      <c r="I792" s="15" t="s">
        <v>1</v>
      </c>
      <c r="J792" s="15" t="s">
        <v>1</v>
      </c>
      <c r="K792" s="15"/>
      <c r="L792" s="15" t="s">
        <v>1</v>
      </c>
      <c r="M792" s="15" t="s">
        <v>1</v>
      </c>
      <c r="O792" s="109"/>
    </row>
    <row r="793" spans="1:15" s="5" customFormat="1" ht="12">
      <c r="A793" s="73" t="s">
        <v>2</v>
      </c>
      <c r="E793" s="73" t="s">
        <v>2</v>
      </c>
      <c r="F793" s="1"/>
      <c r="G793" s="123"/>
      <c r="H793" s="123" t="str">
        <f>$H$86</f>
        <v>2005-06</v>
      </c>
      <c r="I793" s="123"/>
      <c r="J793" s="123" t="str">
        <f>$J$86</f>
        <v>2006-07</v>
      </c>
      <c r="K793" s="123"/>
      <c r="L793" s="123"/>
      <c r="M793" s="123" t="str">
        <f>$M$86</f>
        <v>2007-08</v>
      </c>
      <c r="O793" s="109"/>
    </row>
    <row r="794" spans="1:15" s="5" customFormat="1" ht="12">
      <c r="A794" s="73" t="s">
        <v>4</v>
      </c>
      <c r="C794" s="74" t="s">
        <v>20</v>
      </c>
      <c r="E794" s="73" t="s">
        <v>4</v>
      </c>
      <c r="F794" s="1"/>
      <c r="G794" s="178" t="s">
        <v>21</v>
      </c>
      <c r="H794" s="123" t="s">
        <v>7</v>
      </c>
      <c r="I794" s="178" t="s">
        <v>21</v>
      </c>
      <c r="J794" s="123" t="s">
        <v>7</v>
      </c>
      <c r="K794" s="123"/>
      <c r="L794" s="178" t="s">
        <v>21</v>
      </c>
      <c r="M794" s="123" t="s">
        <v>8</v>
      </c>
      <c r="O794" s="109"/>
    </row>
    <row r="795" spans="1:15" s="5" customFormat="1" ht="12">
      <c r="A795" s="15" t="s">
        <v>1</v>
      </c>
      <c r="B795" s="15" t="s">
        <v>1</v>
      </c>
      <c r="C795" s="15" t="s">
        <v>1</v>
      </c>
      <c r="D795" s="15" t="s">
        <v>1</v>
      </c>
      <c r="E795" s="15" t="s">
        <v>1</v>
      </c>
      <c r="F795" s="15" t="s">
        <v>1</v>
      </c>
      <c r="G795" s="15" t="s">
        <v>1</v>
      </c>
      <c r="H795" s="15" t="s">
        <v>1</v>
      </c>
      <c r="I795" s="15" t="s">
        <v>1</v>
      </c>
      <c r="J795" s="176" t="s">
        <v>1</v>
      </c>
      <c r="K795" s="176"/>
      <c r="L795" s="15" t="s">
        <v>1</v>
      </c>
      <c r="M795" s="176" t="s">
        <v>1</v>
      </c>
      <c r="O795" s="109"/>
    </row>
    <row r="796" spans="1:15" s="5" customFormat="1" ht="12">
      <c r="A796" s="41">
        <v>1</v>
      </c>
      <c r="C796" s="4" t="s">
        <v>36</v>
      </c>
      <c r="E796" s="41">
        <v>1</v>
      </c>
      <c r="F796" s="27"/>
      <c r="G796" s="180">
        <v>58</v>
      </c>
      <c r="H796" s="179">
        <f>126803+4263854+2244766</f>
        <v>6635423</v>
      </c>
      <c r="I796" s="180">
        <f>J796/118323</f>
        <v>66.77300271291296</v>
      </c>
      <c r="J796" s="179">
        <f>44539+5044056+2812187</f>
        <v>7900782</v>
      </c>
      <c r="K796" s="179"/>
      <c r="L796" s="180">
        <v>67.9</v>
      </c>
      <c r="M796" s="179">
        <f>6807140+3598835-2000000</f>
        <v>8405975</v>
      </c>
      <c r="O796" s="109"/>
    </row>
    <row r="797" spans="1:15" s="5" customFormat="1" ht="12">
      <c r="A797" s="41">
        <v>2</v>
      </c>
      <c r="C797" s="4" t="s">
        <v>37</v>
      </c>
      <c r="E797" s="41">
        <v>2</v>
      </c>
      <c r="F797" s="27"/>
      <c r="G797" s="180"/>
      <c r="H797" s="179">
        <f>83296+729843-61333+394551</f>
        <v>1146357</v>
      </c>
      <c r="I797" s="180"/>
      <c r="J797" s="179">
        <f>13884+953909+519353</f>
        <v>1487146</v>
      </c>
      <c r="K797" s="179"/>
      <c r="L797" s="180"/>
      <c r="M797" s="179">
        <f>4394+1443416+554397-200000</f>
        <v>1802207</v>
      </c>
      <c r="O797" s="109"/>
    </row>
    <row r="798" spans="1:15" s="5" customFormat="1" ht="12">
      <c r="A798" s="41">
        <v>3</v>
      </c>
      <c r="E798" s="41">
        <v>3</v>
      </c>
      <c r="F798" s="27"/>
      <c r="G798" s="180"/>
      <c r="H798" s="179"/>
      <c r="I798" s="180"/>
      <c r="J798" s="179"/>
      <c r="K798" s="179"/>
      <c r="L798" s="180"/>
      <c r="M798" s="179"/>
      <c r="O798" s="109"/>
    </row>
    <row r="799" spans="1:15" s="5" customFormat="1" ht="12">
      <c r="A799" s="41">
        <v>4</v>
      </c>
      <c r="C799" s="4" t="s">
        <v>23</v>
      </c>
      <c r="E799" s="41">
        <v>4</v>
      </c>
      <c r="F799" s="27"/>
      <c r="G799" s="89">
        <f>G796</f>
        <v>58</v>
      </c>
      <c r="H799" s="86">
        <f>SUM(H796:H797)</f>
        <v>7781780</v>
      </c>
      <c r="I799" s="89">
        <f>I796</f>
        <v>66.77300271291296</v>
      </c>
      <c r="J799" s="86">
        <f>SUM(J796:J797)</f>
        <v>9387928</v>
      </c>
      <c r="K799" s="86"/>
      <c r="L799" s="89">
        <f>L796</f>
        <v>67.9</v>
      </c>
      <c r="M799" s="86">
        <f>SUM(M796:M797)</f>
        <v>10208182</v>
      </c>
      <c r="O799" s="109"/>
    </row>
    <row r="800" spans="1:15" s="5" customFormat="1" ht="12">
      <c r="A800" s="41">
        <v>5</v>
      </c>
      <c r="E800" s="41">
        <v>5</v>
      </c>
      <c r="F800" s="27"/>
      <c r="G800" s="89"/>
      <c r="H800" s="86"/>
      <c r="I800" s="89"/>
      <c r="J800" s="86"/>
      <c r="K800" s="86"/>
      <c r="L800" s="89"/>
      <c r="M800" s="86"/>
      <c r="O800" s="109"/>
    </row>
    <row r="801" spans="1:15" s="5" customFormat="1" ht="12">
      <c r="A801" s="41">
        <v>6</v>
      </c>
      <c r="E801" s="41">
        <v>6</v>
      </c>
      <c r="F801" s="27"/>
      <c r="G801" s="89"/>
      <c r="H801" s="86"/>
      <c r="I801" s="89"/>
      <c r="J801" s="86"/>
      <c r="K801" s="86"/>
      <c r="L801" s="89"/>
      <c r="M801" s="86"/>
      <c r="O801" s="109"/>
    </row>
    <row r="802" spans="1:15" s="5" customFormat="1" ht="12">
      <c r="A802" s="41">
        <v>7</v>
      </c>
      <c r="C802" s="4" t="s">
        <v>25</v>
      </c>
      <c r="E802" s="41">
        <v>7</v>
      </c>
      <c r="F802" s="27"/>
      <c r="G802" s="180">
        <v>166.4</v>
      </c>
      <c r="H802" s="179">
        <f>6613334+2934510</f>
        <v>9547844</v>
      </c>
      <c r="I802" s="180">
        <f>J802/58976</f>
        <v>177.71642702116114</v>
      </c>
      <c r="J802" s="179">
        <f>7124126+3356878</f>
        <v>10481004</v>
      </c>
      <c r="K802" s="179"/>
      <c r="L802" s="180">
        <f>147.3-25.79+53.1</f>
        <v>174.61</v>
      </c>
      <c r="M802" s="179">
        <f>7902953+3379981</f>
        <v>11282934</v>
      </c>
      <c r="O802" s="109"/>
    </row>
    <row r="803" spans="1:15" s="5" customFormat="1" ht="12">
      <c r="A803" s="41">
        <v>8</v>
      </c>
      <c r="C803" s="4" t="s">
        <v>26</v>
      </c>
      <c r="E803" s="41">
        <v>8</v>
      </c>
      <c r="F803" s="27"/>
      <c r="G803" s="180"/>
      <c r="H803" s="179">
        <f>1357107-66407+581491</f>
        <v>1872191</v>
      </c>
      <c r="I803" s="180"/>
      <c r="J803" s="179">
        <f>1537142+715538</f>
        <v>2252680</v>
      </c>
      <c r="K803" s="179"/>
      <c r="L803" s="180"/>
      <c r="M803" s="179">
        <f>1942010+789037</f>
        <v>2731047</v>
      </c>
      <c r="O803" s="109"/>
    </row>
    <row r="804" spans="1:15" s="5" customFormat="1" ht="12">
      <c r="A804" s="41">
        <v>9</v>
      </c>
      <c r="C804" s="4" t="s">
        <v>27</v>
      </c>
      <c r="E804" s="41">
        <v>9</v>
      </c>
      <c r="F804" s="27"/>
      <c r="G804" s="89">
        <f>G802</f>
        <v>166.4</v>
      </c>
      <c r="H804" s="86">
        <f>SUM(H802:H803)</f>
        <v>11420035</v>
      </c>
      <c r="I804" s="89">
        <f>I802</f>
        <v>177.71642702116114</v>
      </c>
      <c r="J804" s="86">
        <f>SUM(J802:J803)</f>
        <v>12733684</v>
      </c>
      <c r="K804" s="86"/>
      <c r="L804" s="89">
        <f>L802</f>
        <v>174.61</v>
      </c>
      <c r="M804" s="86">
        <f>SUM(M802:M803)</f>
        <v>14013981</v>
      </c>
      <c r="O804" s="109"/>
    </row>
    <row r="805" spans="1:15" s="5" customFormat="1" ht="12">
      <c r="A805" s="41">
        <v>10</v>
      </c>
      <c r="E805" s="41">
        <v>10</v>
      </c>
      <c r="F805" s="27"/>
      <c r="O805" s="109"/>
    </row>
    <row r="806" spans="1:15" s="5" customFormat="1" ht="12">
      <c r="A806" s="41">
        <v>11</v>
      </c>
      <c r="C806" s="4" t="s">
        <v>28</v>
      </c>
      <c r="E806" s="41">
        <v>11</v>
      </c>
      <c r="F806" s="27"/>
      <c r="G806" s="89">
        <f>SUM(G804,G799)</f>
        <v>224.4</v>
      </c>
      <c r="H806" s="86">
        <f>SUM(H804,H799)</f>
        <v>19201815</v>
      </c>
      <c r="I806" s="89">
        <f>SUM(I804,I799)</f>
        <v>244.4894297340741</v>
      </c>
      <c r="J806" s="86">
        <f>SUM(J804,J799)</f>
        <v>22121612</v>
      </c>
      <c r="K806" s="86"/>
      <c r="L806" s="89">
        <f>SUM(L804,L799)</f>
        <v>242.51000000000002</v>
      </c>
      <c r="M806" s="86">
        <f>SUM(M804,M799)</f>
        <v>24222163</v>
      </c>
      <c r="O806" s="109"/>
    </row>
    <row r="807" spans="1:15" s="5" customFormat="1" ht="12">
      <c r="A807" s="41">
        <v>12</v>
      </c>
      <c r="E807" s="41">
        <v>12</v>
      </c>
      <c r="F807" s="27"/>
      <c r="O807" s="109"/>
    </row>
    <row r="808" spans="1:15" s="5" customFormat="1" ht="12">
      <c r="A808" s="41">
        <v>13</v>
      </c>
      <c r="C808" s="4" t="s">
        <v>38</v>
      </c>
      <c r="E808" s="41">
        <v>13</v>
      </c>
      <c r="F808" s="27"/>
      <c r="G808" s="180">
        <v>4.5</v>
      </c>
      <c r="H808" s="179">
        <f>138293+1063+55283+234</f>
        <v>194873</v>
      </c>
      <c r="I808" s="180">
        <f>J808/72936</f>
        <v>2.809106614017769</v>
      </c>
      <c r="J808" s="179">
        <f>132712+697+71157+319</f>
        <v>204885</v>
      </c>
      <c r="K808" s="179"/>
      <c r="L808" s="180">
        <v>2.05</v>
      </c>
      <c r="M808" s="179">
        <f>65412+259+80909+3519</f>
        <v>150099</v>
      </c>
      <c r="O808" s="109"/>
    </row>
    <row r="809" spans="1:15" s="5" customFormat="1" ht="12">
      <c r="A809" s="41">
        <v>14</v>
      </c>
      <c r="E809" s="41">
        <v>14</v>
      </c>
      <c r="F809" s="27"/>
      <c r="G809" s="180"/>
      <c r="H809" s="27"/>
      <c r="I809" s="180"/>
      <c r="J809" s="27"/>
      <c r="K809" s="27"/>
      <c r="L809" s="180"/>
      <c r="M809" s="27"/>
      <c r="O809" s="109"/>
    </row>
    <row r="810" spans="1:15" s="5" customFormat="1" ht="12">
      <c r="A810" s="41">
        <v>15</v>
      </c>
      <c r="C810" s="4" t="s">
        <v>30</v>
      </c>
      <c r="E810" s="41">
        <v>15</v>
      </c>
      <c r="F810" s="27"/>
      <c r="G810" s="180"/>
      <c r="H810" s="241">
        <v>64323</v>
      </c>
      <c r="I810" s="180"/>
      <c r="J810" s="241">
        <v>83605</v>
      </c>
      <c r="K810" s="241"/>
      <c r="L810" s="180"/>
      <c r="M810" s="241">
        <v>18794</v>
      </c>
      <c r="O810" s="109"/>
    </row>
    <row r="811" spans="1:15" s="5" customFormat="1" ht="12">
      <c r="A811" s="41">
        <v>16</v>
      </c>
      <c r="C811" s="4" t="s">
        <v>31</v>
      </c>
      <c r="E811" s="41">
        <v>16</v>
      </c>
      <c r="F811" s="27"/>
      <c r="G811" s="180"/>
      <c r="H811" s="179">
        <f>2756657+925+23089+238+7334716-925-23089+33+2819672-9030507</f>
        <v>3880809</v>
      </c>
      <c r="I811" s="180"/>
      <c r="J811" s="179">
        <f>3886+3533186+437+6483388-93653-7475432</f>
        <v>2451812</v>
      </c>
      <c r="K811" s="179"/>
      <c r="L811" s="180"/>
      <c r="M811" s="179">
        <f>25389184+7946051-43958-575000-3023581-862300-14582433-8406678-2000000-1000000</f>
        <v>2841285</v>
      </c>
      <c r="O811" s="109"/>
    </row>
    <row r="812" spans="1:15" s="5" customFormat="1" ht="12">
      <c r="A812" s="41">
        <v>17</v>
      </c>
      <c r="C812" s="4" t="s">
        <v>32</v>
      </c>
      <c r="E812" s="41">
        <v>17</v>
      </c>
      <c r="F812" s="27"/>
      <c r="G812" s="180"/>
      <c r="H812" s="179"/>
      <c r="I812" s="180"/>
      <c r="J812" s="241"/>
      <c r="K812" s="241"/>
      <c r="L812" s="180"/>
      <c r="M812" s="241"/>
      <c r="O812" s="109"/>
    </row>
    <row r="813" spans="1:15" s="5" customFormat="1" ht="12">
      <c r="A813" s="41">
        <v>18</v>
      </c>
      <c r="E813" s="41">
        <v>18</v>
      </c>
      <c r="F813" s="27"/>
      <c r="G813" s="180"/>
      <c r="H813" s="179"/>
      <c r="I813" s="180"/>
      <c r="J813" s="179"/>
      <c r="K813" s="179"/>
      <c r="L813" s="180"/>
      <c r="M813" s="179"/>
      <c r="O813" s="109"/>
    </row>
    <row r="814" spans="1:15" s="5" customFormat="1" ht="12">
      <c r="A814" s="41">
        <v>19</v>
      </c>
      <c r="C814" s="4" t="s">
        <v>42</v>
      </c>
      <c r="E814" s="41">
        <v>19</v>
      </c>
      <c r="F814" s="27"/>
      <c r="G814" s="180"/>
      <c r="H814" s="179"/>
      <c r="I814" s="180"/>
      <c r="J814" s="179"/>
      <c r="K814" s="179"/>
      <c r="L814" s="180"/>
      <c r="M814" s="179"/>
      <c r="O814" s="109"/>
    </row>
    <row r="815" spans="1:15" s="5" customFormat="1" ht="12">
      <c r="A815" s="41">
        <v>20</v>
      </c>
      <c r="E815" s="41">
        <v>20</v>
      </c>
      <c r="F815" s="24"/>
      <c r="G815" s="24"/>
      <c r="H815" s="24"/>
      <c r="I815" s="24"/>
      <c r="J815" s="24"/>
      <c r="K815" s="24"/>
      <c r="L815" s="24"/>
      <c r="M815" s="24"/>
      <c r="O815" s="109"/>
    </row>
    <row r="816" spans="1:15" s="5" customFormat="1" ht="12">
      <c r="A816" s="41">
        <v>21</v>
      </c>
      <c r="E816" s="41">
        <v>21</v>
      </c>
      <c r="F816" s="24"/>
      <c r="G816" s="24"/>
      <c r="H816" s="86"/>
      <c r="I816" s="24"/>
      <c r="J816" s="86"/>
      <c r="K816" s="86"/>
      <c r="L816" s="24"/>
      <c r="M816" s="86"/>
      <c r="O816" s="109"/>
    </row>
    <row r="817" spans="1:15" s="5" customFormat="1" ht="12">
      <c r="A817" s="41">
        <v>22</v>
      </c>
      <c r="E817" s="41">
        <v>22</v>
      </c>
      <c r="G817" s="89"/>
      <c r="H817" s="86"/>
      <c r="I817" s="89"/>
      <c r="J817" s="86"/>
      <c r="K817" s="86"/>
      <c r="L817" s="89"/>
      <c r="M817" s="86"/>
      <c r="O817" s="109"/>
    </row>
    <row r="818" spans="1:15" s="5" customFormat="1" ht="12">
      <c r="A818" s="41">
        <v>23</v>
      </c>
      <c r="D818" s="47"/>
      <c r="E818" s="41">
        <v>23</v>
      </c>
      <c r="H818" s="86"/>
      <c r="J818" s="86"/>
      <c r="K818" s="86"/>
      <c r="M818" s="86"/>
      <c r="O818" s="109"/>
    </row>
    <row r="819" spans="1:15" s="5" customFormat="1" ht="12">
      <c r="A819" s="41">
        <v>24</v>
      </c>
      <c r="D819" s="47"/>
      <c r="E819" s="41">
        <v>24</v>
      </c>
      <c r="H819" s="86"/>
      <c r="J819" s="86"/>
      <c r="K819" s="86"/>
      <c r="M819" s="86"/>
      <c r="O819" s="109"/>
    </row>
    <row r="820" spans="5:15" s="5" customFormat="1" ht="12">
      <c r="E820" s="38"/>
      <c r="F820" s="24" t="s">
        <v>1</v>
      </c>
      <c r="G820" s="24" t="s">
        <v>1</v>
      </c>
      <c r="H820" s="24" t="s">
        <v>1</v>
      </c>
      <c r="I820" s="24" t="s">
        <v>1</v>
      </c>
      <c r="J820" s="24" t="s">
        <v>1</v>
      </c>
      <c r="K820" s="24"/>
      <c r="L820" s="24" t="s">
        <v>1</v>
      </c>
      <c r="M820" s="24" t="s">
        <v>1</v>
      </c>
      <c r="O820" s="109"/>
    </row>
    <row r="821" spans="1:15" s="5" customFormat="1" ht="18" customHeight="1">
      <c r="A821" s="41">
        <v>25</v>
      </c>
      <c r="C821" s="4" t="s">
        <v>272</v>
      </c>
      <c r="E821" s="38">
        <v>25</v>
      </c>
      <c r="G821" s="77">
        <f>SUM(G806:G817)</f>
        <v>228.9</v>
      </c>
      <c r="H821" s="86">
        <f>SUM(H806:H817)</f>
        <v>23341820</v>
      </c>
      <c r="I821" s="77">
        <f>SUM(I806:I817)</f>
        <v>247.29853634809186</v>
      </c>
      <c r="J821" s="86">
        <f>SUM(J806:J817)</f>
        <v>24861914</v>
      </c>
      <c r="K821" s="86"/>
      <c r="L821" s="77">
        <f>SUM(L806:L817)</f>
        <v>244.56000000000003</v>
      </c>
      <c r="M821" s="86">
        <f>SUM(M806:M817)</f>
        <v>27232341</v>
      </c>
      <c r="O821" s="109"/>
    </row>
    <row r="822" spans="5:15" s="5" customFormat="1" ht="12">
      <c r="E822" s="38"/>
      <c r="F822" s="24" t="s">
        <v>1</v>
      </c>
      <c r="G822" s="24" t="s">
        <v>1</v>
      </c>
      <c r="H822" s="24" t="s">
        <v>1</v>
      </c>
      <c r="I822" s="24" t="s">
        <v>1</v>
      </c>
      <c r="J822" s="24" t="s">
        <v>1</v>
      </c>
      <c r="K822" s="24"/>
      <c r="L822" s="24" t="s">
        <v>1</v>
      </c>
      <c r="M822" s="24" t="s">
        <v>1</v>
      </c>
      <c r="O822" s="109"/>
    </row>
    <row r="823" spans="1:15" s="5" customFormat="1" ht="12">
      <c r="A823" s="4"/>
      <c r="H823" s="192"/>
      <c r="J823" s="192"/>
      <c r="K823" s="192"/>
      <c r="M823" s="192"/>
      <c r="O823" s="109"/>
    </row>
    <row r="824" s="5" customFormat="1" ht="12" hidden="1">
      <c r="O824" s="109"/>
    </row>
    <row r="825" spans="1:15" s="5" customFormat="1" ht="12">
      <c r="A825" s="68" t="str">
        <f>+A82</f>
        <v>Institution No.:  GFE </v>
      </c>
      <c r="E825" s="38"/>
      <c r="G825" s="71"/>
      <c r="H825" s="86"/>
      <c r="I825" s="71"/>
      <c r="J825" s="189"/>
      <c r="K825" s="189"/>
      <c r="L825" s="71"/>
      <c r="M825" s="189" t="s">
        <v>44</v>
      </c>
      <c r="O825" s="109"/>
    </row>
    <row r="826" spans="1:15" s="5" customFormat="1" ht="12">
      <c r="A826" s="428" t="s">
        <v>165</v>
      </c>
      <c r="B826" s="428"/>
      <c r="C826" s="428"/>
      <c r="D826" s="428"/>
      <c r="E826" s="428"/>
      <c r="F826" s="428"/>
      <c r="G826" s="428"/>
      <c r="H826" s="428"/>
      <c r="I826" s="428"/>
      <c r="J826" s="428"/>
      <c r="K826" s="73"/>
      <c r="O826" s="109"/>
    </row>
    <row r="827" spans="1:15" s="5" customFormat="1" ht="12">
      <c r="A827" s="68" t="str">
        <f>+A84</f>
        <v>NAME:  University of Colorado - HSC</v>
      </c>
      <c r="F827" s="106"/>
      <c r="G827" s="106"/>
      <c r="H827" s="219"/>
      <c r="I827" s="71"/>
      <c r="J827" s="190"/>
      <c r="K827" s="190"/>
      <c r="L827" s="71"/>
      <c r="M827" s="228" t="str">
        <f>+M84</f>
        <v>Date:  10-07</v>
      </c>
      <c r="O827" s="109"/>
    </row>
    <row r="828" spans="1:15" s="5" customFormat="1" ht="12">
      <c r="A828" s="15" t="s">
        <v>1</v>
      </c>
      <c r="B828" s="15" t="s">
        <v>1</v>
      </c>
      <c r="C828" s="15" t="s">
        <v>1</v>
      </c>
      <c r="D828" s="15" t="s">
        <v>1</v>
      </c>
      <c r="E828" s="15" t="s">
        <v>1</v>
      </c>
      <c r="F828" s="15" t="s">
        <v>1</v>
      </c>
      <c r="G828" s="15" t="s">
        <v>1</v>
      </c>
      <c r="H828" s="15" t="s">
        <v>1</v>
      </c>
      <c r="I828" s="15" t="s">
        <v>1</v>
      </c>
      <c r="J828" s="15" t="s">
        <v>1</v>
      </c>
      <c r="K828" s="15"/>
      <c r="L828" s="15" t="s">
        <v>1</v>
      </c>
      <c r="M828" s="15" t="s">
        <v>1</v>
      </c>
      <c r="O828" s="109"/>
    </row>
    <row r="829" spans="1:15" s="5" customFormat="1" ht="12">
      <c r="A829" s="73" t="s">
        <v>2</v>
      </c>
      <c r="E829" s="73" t="s">
        <v>2</v>
      </c>
      <c r="F829" s="1"/>
      <c r="G829" s="123"/>
      <c r="H829" s="123" t="str">
        <f>$H$86</f>
        <v>2005-06</v>
      </c>
      <c r="I829" s="123"/>
      <c r="J829" s="123" t="str">
        <f>$J$86</f>
        <v>2006-07</v>
      </c>
      <c r="K829" s="123"/>
      <c r="L829" s="123"/>
      <c r="M829" s="123" t="str">
        <f>$M$86</f>
        <v>2007-08</v>
      </c>
      <c r="O829" s="109"/>
    </row>
    <row r="830" spans="1:15" s="5" customFormat="1" ht="12">
      <c r="A830" s="73" t="s">
        <v>4</v>
      </c>
      <c r="C830" s="74" t="s">
        <v>20</v>
      </c>
      <c r="E830" s="73" t="s">
        <v>4</v>
      </c>
      <c r="F830" s="1"/>
      <c r="G830" s="178" t="s">
        <v>21</v>
      </c>
      <c r="H830" s="123" t="s">
        <v>7</v>
      </c>
      <c r="I830" s="178" t="s">
        <v>21</v>
      </c>
      <c r="J830" s="123" t="s">
        <v>7</v>
      </c>
      <c r="K830" s="123"/>
      <c r="L830" s="178" t="s">
        <v>21</v>
      </c>
      <c r="M830" s="123" t="s">
        <v>8</v>
      </c>
      <c r="O830" s="109"/>
    </row>
    <row r="831" spans="1:15" s="5" customFormat="1" ht="12">
      <c r="A831" s="15" t="s">
        <v>1</v>
      </c>
      <c r="B831" s="15" t="s">
        <v>1</v>
      </c>
      <c r="C831" s="15" t="s">
        <v>1</v>
      </c>
      <c r="D831" s="15" t="s">
        <v>1</v>
      </c>
      <c r="E831" s="15" t="s">
        <v>1</v>
      </c>
      <c r="F831" s="15" t="s">
        <v>1</v>
      </c>
      <c r="G831" s="15" t="s">
        <v>1</v>
      </c>
      <c r="H831" s="15" t="s">
        <v>1</v>
      </c>
      <c r="I831" s="15" t="s">
        <v>1</v>
      </c>
      <c r="J831" s="176" t="s">
        <v>1</v>
      </c>
      <c r="K831" s="176"/>
      <c r="L831" s="15" t="s">
        <v>1</v>
      </c>
      <c r="M831" s="176" t="s">
        <v>1</v>
      </c>
      <c r="O831" s="109"/>
    </row>
    <row r="832" spans="1:15" s="5" customFormat="1" ht="12">
      <c r="A832" s="41">
        <v>1</v>
      </c>
      <c r="C832" s="4" t="s">
        <v>36</v>
      </c>
      <c r="E832" s="41">
        <v>1</v>
      </c>
      <c r="F832" s="27"/>
      <c r="G832" s="180">
        <v>15.2</v>
      </c>
      <c r="H832" s="179">
        <v>1452085</v>
      </c>
      <c r="I832" s="180">
        <f>J832/98888</f>
        <v>16.099061564598333</v>
      </c>
      <c r="J832" s="179">
        <v>1592004</v>
      </c>
      <c r="K832" s="179"/>
      <c r="L832" s="180">
        <v>18.23</v>
      </c>
      <c r="M832" s="179">
        <v>1761337</v>
      </c>
      <c r="O832" s="109"/>
    </row>
    <row r="833" spans="1:15" s="5" customFormat="1" ht="12">
      <c r="A833" s="41">
        <v>2</v>
      </c>
      <c r="C833" s="4" t="s">
        <v>37</v>
      </c>
      <c r="E833" s="41">
        <v>2</v>
      </c>
      <c r="F833" s="27"/>
      <c r="G833" s="180"/>
      <c r="H833" s="179">
        <f>15141+280441-15141</f>
        <v>280441</v>
      </c>
      <c r="I833" s="180"/>
      <c r="J833" s="179">
        <v>335343</v>
      </c>
      <c r="K833" s="179"/>
      <c r="L833" s="180"/>
      <c r="M833" s="179">
        <v>399560</v>
      </c>
      <c r="O833" s="109"/>
    </row>
    <row r="834" spans="1:15" s="5" customFormat="1" ht="12">
      <c r="A834" s="41">
        <v>3</v>
      </c>
      <c r="C834" s="4" t="s">
        <v>23</v>
      </c>
      <c r="E834" s="41">
        <v>3</v>
      </c>
      <c r="F834" s="27"/>
      <c r="G834" s="89">
        <f>G832</f>
        <v>15.2</v>
      </c>
      <c r="H834" s="86">
        <f>SUM(H832:H833)</f>
        <v>1732526</v>
      </c>
      <c r="I834" s="89">
        <f>I832</f>
        <v>16.099061564598333</v>
      </c>
      <c r="J834" s="86">
        <f>SUM(J832:J833)</f>
        <v>1927347</v>
      </c>
      <c r="K834" s="86"/>
      <c r="L834" s="89">
        <f>L832</f>
        <v>18.23</v>
      </c>
      <c r="M834" s="86">
        <f>SUM(M832:M833)</f>
        <v>2160897</v>
      </c>
      <c r="O834" s="109"/>
    </row>
    <row r="835" spans="1:18" s="5" customFormat="1" ht="6.75" customHeight="1">
      <c r="A835" s="41">
        <v>4</v>
      </c>
      <c r="E835" s="41">
        <v>4</v>
      </c>
      <c r="F835" s="27"/>
      <c r="G835" s="89"/>
      <c r="H835" s="86"/>
      <c r="I835" s="89"/>
      <c r="J835" s="86"/>
      <c r="K835" s="86"/>
      <c r="L835" s="89"/>
      <c r="M835" s="86"/>
      <c r="N835" s="36"/>
      <c r="O835" s="249"/>
      <c r="P835" s="36"/>
      <c r="Q835" s="36"/>
      <c r="R835" s="36"/>
    </row>
    <row r="836" spans="1:18" s="5" customFormat="1" ht="12">
      <c r="A836" s="41">
        <v>5</v>
      </c>
      <c r="C836" s="4" t="s">
        <v>25</v>
      </c>
      <c r="E836" s="41">
        <v>5</v>
      </c>
      <c r="F836" s="27"/>
      <c r="G836" s="180">
        <v>188.53</v>
      </c>
      <c r="H836" s="179">
        <v>8256691</v>
      </c>
      <c r="I836" s="180">
        <f>J836/44983</f>
        <v>193.5528088388947</v>
      </c>
      <c r="J836" s="179">
        <v>8706586</v>
      </c>
      <c r="K836" s="179"/>
      <c r="L836" s="180">
        <f>178.95-1.73</f>
        <v>177.22</v>
      </c>
      <c r="M836" s="179">
        <v>8584644</v>
      </c>
      <c r="N836" s="36"/>
      <c r="O836" s="251"/>
      <c r="P836" s="254"/>
      <c r="Q836" s="36"/>
      <c r="R836" s="36"/>
    </row>
    <row r="837" spans="1:18" s="5" customFormat="1" ht="12">
      <c r="A837" s="41">
        <v>6</v>
      </c>
      <c r="C837" s="4" t="s">
        <v>26</v>
      </c>
      <c r="E837" s="41">
        <v>6</v>
      </c>
      <c r="F837" s="27"/>
      <c r="G837" s="180"/>
      <c r="H837" s="179">
        <f>1709586-78117</f>
        <v>1631469</v>
      </c>
      <c r="I837" s="180"/>
      <c r="J837" s="179">
        <v>1941596</v>
      </c>
      <c r="K837" s="179"/>
      <c r="L837" s="180"/>
      <c r="M837" s="179">
        <v>2209735</v>
      </c>
      <c r="N837" s="36"/>
      <c r="O837" s="251"/>
      <c r="P837" s="254"/>
      <c r="Q837" s="254"/>
      <c r="R837" s="36"/>
    </row>
    <row r="838" spans="1:18" s="5" customFormat="1" ht="12">
      <c r="A838" s="41">
        <v>7</v>
      </c>
      <c r="C838" s="4" t="s">
        <v>27</v>
      </c>
      <c r="E838" s="41">
        <v>7</v>
      </c>
      <c r="F838" s="27"/>
      <c r="G838" s="89">
        <f>G836</f>
        <v>188.53</v>
      </c>
      <c r="H838" s="86">
        <f>SUM(H836:H837)</f>
        <v>9888160</v>
      </c>
      <c r="I838" s="89">
        <f>I836</f>
        <v>193.5528088388947</v>
      </c>
      <c r="J838" s="86">
        <f>SUM(J836:J837)</f>
        <v>10648182</v>
      </c>
      <c r="K838" s="86"/>
      <c r="L838" s="89">
        <f>L836</f>
        <v>177.22</v>
      </c>
      <c r="M838" s="86">
        <f>SUM(M836:M837)</f>
        <v>10794379</v>
      </c>
      <c r="N838" s="36"/>
      <c r="O838" s="251"/>
      <c r="P838" s="254"/>
      <c r="Q838" s="36"/>
      <c r="R838" s="36"/>
    </row>
    <row r="839" spans="1:18" s="5" customFormat="1" ht="12">
      <c r="A839" s="41">
        <v>8</v>
      </c>
      <c r="C839" s="4" t="s">
        <v>28</v>
      </c>
      <c r="E839" s="41">
        <v>9</v>
      </c>
      <c r="G839" s="89">
        <f>SUM(G838,G834)</f>
        <v>203.73</v>
      </c>
      <c r="H839" s="86">
        <f>SUM(H838,H834)</f>
        <v>11620686</v>
      </c>
      <c r="I839" s="89">
        <f>SUM(I838,I834)</f>
        <v>209.65187040349304</v>
      </c>
      <c r="J839" s="86">
        <f>SUM(J838,J834)</f>
        <v>12575529</v>
      </c>
      <c r="K839" s="86"/>
      <c r="L839" s="89">
        <f>SUM(L838,L834)</f>
        <v>195.45</v>
      </c>
      <c r="M839" s="86">
        <f>SUM(M838,M834)</f>
        <v>12955276</v>
      </c>
      <c r="N839" s="36"/>
      <c r="O839" s="249"/>
      <c r="P839" s="36"/>
      <c r="Q839" s="36"/>
      <c r="R839" s="36"/>
    </row>
    <row r="840" spans="1:18" s="5" customFormat="1" ht="12">
      <c r="A840" s="41">
        <v>9</v>
      </c>
      <c r="C840" s="4" t="s">
        <v>38</v>
      </c>
      <c r="E840" s="41">
        <v>11</v>
      </c>
      <c r="F840" s="27"/>
      <c r="G840" s="180">
        <v>2.3</v>
      </c>
      <c r="H840" s="179">
        <f>70667+1060</f>
        <v>71727</v>
      </c>
      <c r="I840" s="180">
        <f>J840/31848</f>
        <v>2.100163275558905</v>
      </c>
      <c r="J840" s="179">
        <f>66602+284</f>
        <v>66886</v>
      </c>
      <c r="K840" s="179"/>
      <c r="L840" s="180">
        <v>1.61</v>
      </c>
      <c r="M840" s="179">
        <v>51339</v>
      </c>
      <c r="N840" s="36"/>
      <c r="O840" s="249"/>
      <c r="P840" s="36"/>
      <c r="Q840" s="36"/>
      <c r="R840" s="36"/>
    </row>
    <row r="841" spans="1:18" s="5" customFormat="1" ht="12">
      <c r="A841" s="41">
        <v>10</v>
      </c>
      <c r="C841" s="4" t="s">
        <v>46</v>
      </c>
      <c r="E841" s="41">
        <v>12</v>
      </c>
      <c r="F841" s="27"/>
      <c r="G841" s="180"/>
      <c r="H841" s="179"/>
      <c r="I841" s="180"/>
      <c r="J841" s="179"/>
      <c r="K841" s="179"/>
      <c r="L841" s="180"/>
      <c r="M841" s="179"/>
      <c r="N841" s="36"/>
      <c r="O841" s="249"/>
      <c r="P841" s="36"/>
      <c r="Q841" s="36"/>
      <c r="R841" s="36"/>
    </row>
    <row r="842" spans="1:15" s="5" customFormat="1" ht="12">
      <c r="A842" s="41">
        <v>11</v>
      </c>
      <c r="C842" s="4" t="s">
        <v>30</v>
      </c>
      <c r="E842" s="41">
        <v>13</v>
      </c>
      <c r="F842" s="27"/>
      <c r="G842" s="180"/>
      <c r="H842" s="179">
        <v>18287</v>
      </c>
      <c r="I842" s="180"/>
      <c r="J842" s="179">
        <v>31672</v>
      </c>
      <c r="K842" s="179"/>
      <c r="L842" s="180"/>
      <c r="M842" s="179">
        <v>0</v>
      </c>
      <c r="O842" s="109"/>
    </row>
    <row r="843" spans="1:16" s="5" customFormat="1" ht="12">
      <c r="A843" s="41">
        <v>12</v>
      </c>
      <c r="C843" s="4" t="s">
        <v>45</v>
      </c>
      <c r="E843" s="41">
        <v>14</v>
      </c>
      <c r="F843" s="27"/>
      <c r="G843" s="180"/>
      <c r="H843" s="179">
        <f>15114775-5700843</f>
        <v>9413932</v>
      </c>
      <c r="I843" s="180"/>
      <c r="J843" s="179">
        <f>14678045-4861503</f>
        <v>9816542</v>
      </c>
      <c r="K843" s="179"/>
      <c r="L843" s="180"/>
      <c r="M843" s="179">
        <f>15357174-4350824</f>
        <v>11006350</v>
      </c>
      <c r="O843" s="109"/>
      <c r="P843" s="113"/>
    </row>
    <row r="844" spans="1:15" s="5" customFormat="1" ht="12">
      <c r="A844" s="41">
        <v>13</v>
      </c>
      <c r="C844" s="4" t="s">
        <v>31</v>
      </c>
      <c r="E844" s="41">
        <v>15</v>
      </c>
      <c r="F844" s="27"/>
      <c r="G844" s="180"/>
      <c r="H844" s="179">
        <f>43331+3914908-1254945+2-27927</f>
        <v>2675369</v>
      </c>
      <c r="I844" s="180"/>
      <c r="J844" s="179">
        <f>-11440+2855346-1154502-57563+109910</f>
        <v>1741751</v>
      </c>
      <c r="K844" s="179"/>
      <c r="L844" s="180"/>
      <c r="M844" s="179">
        <f>5849668-810000-24300-34553-266667-136520-605000-1500000</f>
        <v>2472628</v>
      </c>
      <c r="O844" s="109"/>
    </row>
    <row r="845" spans="1:15" s="5" customFormat="1" ht="12">
      <c r="A845" s="41">
        <v>14</v>
      </c>
      <c r="C845" s="4" t="s">
        <v>32</v>
      </c>
      <c r="E845" s="41">
        <v>16</v>
      </c>
      <c r="F845" s="27"/>
      <c r="G845" s="180"/>
      <c r="H845" s="179">
        <f>161722-161722</f>
        <v>0</v>
      </c>
      <c r="I845" s="180"/>
      <c r="J845" s="179"/>
      <c r="K845" s="179"/>
      <c r="L845" s="180"/>
      <c r="M845" s="179"/>
      <c r="O845" s="109"/>
    </row>
    <row r="846" spans="1:15" s="5" customFormat="1" ht="12">
      <c r="A846" s="41">
        <v>15</v>
      </c>
      <c r="C846" s="4" t="s">
        <v>42</v>
      </c>
      <c r="E846" s="41">
        <v>17</v>
      </c>
      <c r="F846" s="241"/>
      <c r="G846" s="180"/>
      <c r="H846" s="241">
        <v>0</v>
      </c>
      <c r="I846" s="180"/>
      <c r="J846" s="241">
        <v>0</v>
      </c>
      <c r="K846" s="241"/>
      <c r="L846" s="180"/>
      <c r="M846" s="241">
        <v>0</v>
      </c>
      <c r="O846" s="109"/>
    </row>
    <row r="847" spans="1:15" s="5" customFormat="1" ht="12">
      <c r="A847" s="41">
        <v>16</v>
      </c>
      <c r="E847" s="41">
        <v>18</v>
      </c>
      <c r="F847" s="24"/>
      <c r="G847" s="24"/>
      <c r="H847" s="24"/>
      <c r="I847" s="24"/>
      <c r="J847" s="24"/>
      <c r="K847" s="24"/>
      <c r="L847" s="24"/>
      <c r="M847" s="24"/>
      <c r="O847" s="109"/>
    </row>
    <row r="848" spans="1:15" s="5" customFormat="1" ht="11.25" customHeight="1">
      <c r="A848" s="41">
        <v>17</v>
      </c>
      <c r="E848" s="38"/>
      <c r="F848" s="24" t="s">
        <v>1</v>
      </c>
      <c r="G848" s="24"/>
      <c r="H848" s="24"/>
      <c r="I848" s="24" t="s">
        <v>1</v>
      </c>
      <c r="J848" s="24" t="s">
        <v>1</v>
      </c>
      <c r="K848" s="24"/>
      <c r="L848" s="24" t="s">
        <v>1</v>
      </c>
      <c r="M848" s="24" t="s">
        <v>1</v>
      </c>
      <c r="O848" s="109"/>
    </row>
    <row r="849" spans="1:15" s="5" customFormat="1" ht="12">
      <c r="A849" s="41">
        <v>18</v>
      </c>
      <c r="C849" s="4" t="s">
        <v>646</v>
      </c>
      <c r="E849" s="38">
        <v>19</v>
      </c>
      <c r="G849" s="77">
        <f>SUM(G839:G847)</f>
        <v>206.03</v>
      </c>
      <c r="H849" s="86">
        <f>SUM(H839:H847)</f>
        <v>23800001</v>
      </c>
      <c r="I849" s="77">
        <f>SUM(I839:I847)</f>
        <v>211.75203367905195</v>
      </c>
      <c r="J849" s="86">
        <f>SUM(J839:J847)</f>
        <v>24232380</v>
      </c>
      <c r="K849" s="86"/>
      <c r="L849" s="77">
        <f>SUM(L839:L847)</f>
        <v>197.06</v>
      </c>
      <c r="M849" s="86">
        <f>SUM(M839:M847)</f>
        <v>26485593</v>
      </c>
      <c r="O849" s="109"/>
    </row>
    <row r="850" spans="1:15" s="5" customFormat="1" ht="9.75" customHeight="1">
      <c r="A850" s="41">
        <v>19</v>
      </c>
      <c r="D850" s="47" t="s">
        <v>519</v>
      </c>
      <c r="E850" s="38"/>
      <c r="F850" s="24" t="s">
        <v>1</v>
      </c>
      <c r="G850" s="24"/>
      <c r="H850" s="24"/>
      <c r="I850" s="24" t="s">
        <v>1</v>
      </c>
      <c r="J850" s="24" t="s">
        <v>1</v>
      </c>
      <c r="K850" s="24"/>
      <c r="L850" s="24" t="s">
        <v>1</v>
      </c>
      <c r="M850" s="24" t="s">
        <v>1</v>
      </c>
      <c r="O850" s="109"/>
    </row>
    <row r="851" spans="1:15" s="5" customFormat="1" ht="12">
      <c r="A851" s="41">
        <v>20</v>
      </c>
      <c r="C851" s="4" t="s">
        <v>47</v>
      </c>
      <c r="E851" s="41">
        <v>20</v>
      </c>
      <c r="F851" s="27"/>
      <c r="G851" s="71"/>
      <c r="H851" s="86"/>
      <c r="I851" s="71"/>
      <c r="L851" s="71"/>
      <c r="O851" s="109"/>
    </row>
    <row r="852" spans="1:15" s="5" customFormat="1" ht="12">
      <c r="A852" s="41">
        <v>21</v>
      </c>
      <c r="C852" s="4" t="s">
        <v>48</v>
      </c>
      <c r="E852" s="41">
        <v>21</v>
      </c>
      <c r="F852" s="27"/>
      <c r="G852" s="179"/>
      <c r="H852" s="179">
        <v>3094657</v>
      </c>
      <c r="I852" s="179"/>
      <c r="J852" s="179">
        <f>H871</f>
        <v>3038257</v>
      </c>
      <c r="K852" s="179"/>
      <c r="L852" s="179"/>
      <c r="M852" s="179">
        <f>J871</f>
        <v>3095886</v>
      </c>
      <c r="O852" s="109"/>
    </row>
    <row r="853" spans="1:15" s="5" customFormat="1" ht="12">
      <c r="A853" s="41">
        <v>22</v>
      </c>
      <c r="C853" s="4" t="s">
        <v>49</v>
      </c>
      <c r="E853" s="41">
        <v>22</v>
      </c>
      <c r="F853" s="27"/>
      <c r="G853" s="179"/>
      <c r="H853" s="179"/>
      <c r="I853" s="179"/>
      <c r="J853" s="179"/>
      <c r="K853" s="179"/>
      <c r="L853" s="179"/>
      <c r="M853" s="179"/>
      <c r="O853" s="109"/>
    </row>
    <row r="854" spans="1:15" s="5" customFormat="1" ht="12">
      <c r="A854" s="41">
        <v>23</v>
      </c>
      <c r="C854" s="247" t="s">
        <v>520</v>
      </c>
      <c r="E854" s="41">
        <v>23</v>
      </c>
      <c r="F854" s="27"/>
      <c r="G854" s="179"/>
      <c r="H854" s="179"/>
      <c r="I854" s="179"/>
      <c r="J854" s="179">
        <v>7356</v>
      </c>
      <c r="K854" s="179"/>
      <c r="L854" s="179"/>
      <c r="M854" s="179"/>
      <c r="O854" s="109"/>
    </row>
    <row r="855" spans="1:15" s="5" customFormat="1" ht="12">
      <c r="A855" s="41">
        <v>24</v>
      </c>
      <c r="C855" s="247" t="s">
        <v>521</v>
      </c>
      <c r="E855" s="41">
        <v>24</v>
      </c>
      <c r="F855" s="27"/>
      <c r="G855" s="179"/>
      <c r="I855" s="179"/>
      <c r="J855" s="179">
        <v>68333</v>
      </c>
      <c r="K855" s="179"/>
      <c r="L855" s="179"/>
      <c r="M855" s="179"/>
      <c r="O855" s="109"/>
    </row>
    <row r="856" spans="1:15" s="5" customFormat="1" ht="12">
      <c r="A856" s="41">
        <v>25</v>
      </c>
      <c r="C856" s="247" t="s">
        <v>522</v>
      </c>
      <c r="E856" s="41">
        <v>25</v>
      </c>
      <c r="F856" s="27"/>
      <c r="G856" s="179"/>
      <c r="I856" s="179"/>
      <c r="J856" s="179"/>
      <c r="K856" s="179"/>
      <c r="L856" s="179"/>
      <c r="M856" s="179">
        <v>115251</v>
      </c>
      <c r="O856" s="109"/>
    </row>
    <row r="857" spans="1:15" s="5" customFormat="1" ht="12">
      <c r="A857" s="41">
        <v>26</v>
      </c>
      <c r="C857" s="247" t="s">
        <v>523</v>
      </c>
      <c r="E857" s="41">
        <v>26</v>
      </c>
      <c r="F857" s="27"/>
      <c r="G857" s="179"/>
      <c r="I857" s="179"/>
      <c r="J857" s="179"/>
      <c r="K857" s="179"/>
      <c r="L857" s="179"/>
      <c r="M857" s="179">
        <v>275376</v>
      </c>
      <c r="O857" s="109"/>
    </row>
    <row r="858" spans="1:15" s="5" customFormat="1" ht="12">
      <c r="A858" s="41">
        <v>27</v>
      </c>
      <c r="C858" s="247" t="s">
        <v>524</v>
      </c>
      <c r="E858" s="41">
        <v>27</v>
      </c>
      <c r="F858" s="27"/>
      <c r="G858" s="179"/>
      <c r="I858" s="179"/>
      <c r="J858" s="179"/>
      <c r="K858" s="179"/>
      <c r="L858" s="179"/>
      <c r="M858" s="179">
        <v>113005</v>
      </c>
      <c r="O858" s="109"/>
    </row>
    <row r="859" spans="1:15" s="5" customFormat="1" ht="12">
      <c r="A859" s="41">
        <v>28</v>
      </c>
      <c r="C859" s="247" t="s">
        <v>525</v>
      </c>
      <c r="E859" s="41">
        <v>28</v>
      </c>
      <c r="G859" s="179"/>
      <c r="H859" s="179"/>
      <c r="I859" s="179"/>
      <c r="J859" s="179"/>
      <c r="K859" s="179"/>
      <c r="L859" s="179"/>
      <c r="M859" s="179">
        <v>204974</v>
      </c>
      <c r="O859" s="109"/>
    </row>
    <row r="860" spans="1:15" s="5" customFormat="1" ht="12">
      <c r="A860" s="41">
        <v>29</v>
      </c>
      <c r="C860" s="4" t="s">
        <v>50</v>
      </c>
      <c r="E860" s="41">
        <v>30</v>
      </c>
      <c r="F860" s="27"/>
      <c r="G860" s="179"/>
      <c r="H860" s="179"/>
      <c r="I860" s="179"/>
      <c r="J860" s="179"/>
      <c r="K860" s="179"/>
      <c r="L860" s="179"/>
      <c r="M860" s="179"/>
      <c r="O860" s="109"/>
    </row>
    <row r="861" spans="1:15" s="5" customFormat="1" ht="12">
      <c r="A861" s="41">
        <v>30</v>
      </c>
      <c r="C861" s="247" t="s">
        <v>526</v>
      </c>
      <c r="E861" s="41">
        <v>31</v>
      </c>
      <c r="F861" s="27"/>
      <c r="G861" s="179"/>
      <c r="H861" s="179">
        <v>-56400</v>
      </c>
      <c r="I861" s="179"/>
      <c r="L861" s="179"/>
      <c r="M861" s="179"/>
      <c r="O861" s="109"/>
    </row>
    <row r="862" spans="1:15" s="5" customFormat="1" ht="12">
      <c r="A862" s="41">
        <v>31</v>
      </c>
      <c r="C862" s="193" t="s">
        <v>527</v>
      </c>
      <c r="E862" s="41">
        <v>32</v>
      </c>
      <c r="F862" s="27"/>
      <c r="G862" s="179"/>
      <c r="I862" s="179"/>
      <c r="J862" s="179">
        <v>-5200</v>
      </c>
      <c r="K862" s="179"/>
      <c r="L862" s="179"/>
      <c r="M862" s="179"/>
      <c r="O862" s="109"/>
    </row>
    <row r="863" spans="1:15" s="5" customFormat="1" ht="12">
      <c r="A863" s="41">
        <v>32</v>
      </c>
      <c r="C863" s="247" t="s">
        <v>528</v>
      </c>
      <c r="E863" s="41">
        <v>33</v>
      </c>
      <c r="F863" s="27"/>
      <c r="G863" s="179"/>
      <c r="H863" s="179"/>
      <c r="I863" s="179"/>
      <c r="J863" s="179">
        <v>-4000</v>
      </c>
      <c r="K863" s="179"/>
      <c r="L863" s="179"/>
      <c r="M863" s="179"/>
      <c r="O863" s="109"/>
    </row>
    <row r="864" spans="1:15" s="5" customFormat="1" ht="12">
      <c r="A864" s="41">
        <v>33</v>
      </c>
      <c r="C864" s="247" t="s">
        <v>529</v>
      </c>
      <c r="E864" s="41">
        <v>34</v>
      </c>
      <c r="F864" s="27"/>
      <c r="G864" s="179"/>
      <c r="H864" s="179"/>
      <c r="I864" s="179"/>
      <c r="J864" s="179">
        <v>-8860</v>
      </c>
      <c r="K864" s="179"/>
      <c r="L864" s="179"/>
      <c r="M864" s="179"/>
      <c r="O864" s="109"/>
    </row>
    <row r="865" spans="1:15" s="5" customFormat="1" ht="12">
      <c r="A865" s="41">
        <v>34</v>
      </c>
      <c r="C865" s="247" t="s">
        <v>530</v>
      </c>
      <c r="E865" s="41">
        <v>35</v>
      </c>
      <c r="F865" s="27"/>
      <c r="G865" s="179"/>
      <c r="H865" s="179"/>
      <c r="I865" s="179"/>
      <c r="J865" s="179"/>
      <c r="K865" s="179"/>
      <c r="L865" s="179"/>
      <c r="M865" s="179">
        <v>-92000</v>
      </c>
      <c r="O865" s="109"/>
    </row>
    <row r="866" spans="1:15" s="5" customFormat="1" ht="12">
      <c r="A866" s="41">
        <v>35</v>
      </c>
      <c r="C866" s="247" t="s">
        <v>531</v>
      </c>
      <c r="E866" s="41">
        <v>36</v>
      </c>
      <c r="F866" s="27"/>
      <c r="G866" s="179"/>
      <c r="H866" s="179"/>
      <c r="I866" s="179"/>
      <c r="J866" s="179"/>
      <c r="K866" s="179"/>
      <c r="L866" s="179"/>
      <c r="M866" s="179">
        <v>-22800</v>
      </c>
      <c r="O866" s="109"/>
    </row>
    <row r="867" spans="1:15" s="5" customFormat="1" ht="12">
      <c r="A867" s="41">
        <v>36</v>
      </c>
      <c r="C867" s="247" t="s">
        <v>532</v>
      </c>
      <c r="E867" s="41">
        <v>37</v>
      </c>
      <c r="F867" s="27"/>
      <c r="G867" s="179"/>
      <c r="H867" s="179"/>
      <c r="I867" s="179"/>
      <c r="J867" s="179"/>
      <c r="K867" s="179"/>
      <c r="L867" s="179"/>
      <c r="M867" s="179">
        <v>-35600</v>
      </c>
      <c r="O867" s="109"/>
    </row>
    <row r="868" spans="1:15" s="5" customFormat="1" ht="12">
      <c r="A868" s="41">
        <v>37</v>
      </c>
      <c r="C868" s="247" t="s">
        <v>533</v>
      </c>
      <c r="E868" s="41">
        <v>38</v>
      </c>
      <c r="F868" s="27"/>
      <c r="G868" s="179"/>
      <c r="H868" s="179"/>
      <c r="I868" s="179"/>
      <c r="J868" s="179"/>
      <c r="K868" s="179"/>
      <c r="L868" s="179"/>
      <c r="M868" s="179">
        <v>-57700</v>
      </c>
      <c r="O868" s="109"/>
    </row>
    <row r="869" spans="1:15" s="5" customFormat="1" ht="12">
      <c r="A869" s="41">
        <v>38</v>
      </c>
      <c r="C869" s="247" t="s">
        <v>534</v>
      </c>
      <c r="E869" s="41">
        <v>39</v>
      </c>
      <c r="F869" s="27"/>
      <c r="G869" s="179"/>
      <c r="H869" s="179"/>
      <c r="I869" s="179"/>
      <c r="J869" s="179"/>
      <c r="K869" s="179"/>
      <c r="L869" s="179"/>
      <c r="M869" s="179">
        <v>-65500</v>
      </c>
      <c r="O869" s="109"/>
    </row>
    <row r="870" spans="1:15" s="5" customFormat="1" ht="12">
      <c r="A870" s="41">
        <v>39</v>
      </c>
      <c r="C870" s="247" t="s">
        <v>535</v>
      </c>
      <c r="E870" s="41">
        <v>40</v>
      </c>
      <c r="F870" s="27"/>
      <c r="G870" s="179"/>
      <c r="H870" s="179"/>
      <c r="I870" s="179"/>
      <c r="J870" s="179"/>
      <c r="K870" s="179"/>
      <c r="L870" s="179"/>
      <c r="M870" s="179">
        <v>-30800</v>
      </c>
      <c r="O870" s="109"/>
    </row>
    <row r="871" spans="1:15" s="5" customFormat="1" ht="12.75" customHeight="1">
      <c r="A871" s="41">
        <v>40</v>
      </c>
      <c r="C871" s="4" t="s">
        <v>51</v>
      </c>
      <c r="E871" s="41">
        <v>41</v>
      </c>
      <c r="G871" s="86"/>
      <c r="H871" s="86">
        <f>SUM(H852:H870)</f>
        <v>3038257</v>
      </c>
      <c r="I871" s="86"/>
      <c r="J871" s="86">
        <f>SUM(J852:J870)</f>
        <v>3095886</v>
      </c>
      <c r="K871" s="86"/>
      <c r="L871" s="86"/>
      <c r="M871" s="86">
        <f>SUM(M852:M870)</f>
        <v>3500092</v>
      </c>
      <c r="O871" s="109"/>
    </row>
    <row r="872" spans="1:15" s="5" customFormat="1" ht="12" customHeight="1">
      <c r="A872" s="41">
        <v>41</v>
      </c>
      <c r="C872" s="4" t="s">
        <v>52</v>
      </c>
      <c r="E872" s="41">
        <v>43</v>
      </c>
      <c r="F872" s="27"/>
      <c r="G872" s="179"/>
      <c r="H872" s="180">
        <v>160.3622</v>
      </c>
      <c r="I872" s="255"/>
      <c r="J872" s="180">
        <v>160.3622</v>
      </c>
      <c r="K872" s="180"/>
      <c r="L872" s="255"/>
      <c r="M872" s="180">
        <v>160.3622</v>
      </c>
      <c r="O872" s="109"/>
    </row>
    <row r="873" spans="7:15" s="5" customFormat="1" ht="12" hidden="1">
      <c r="G873" s="86"/>
      <c r="I873" s="86"/>
      <c r="J873" s="86"/>
      <c r="K873" s="86"/>
      <c r="L873" s="86"/>
      <c r="M873" s="86"/>
      <c r="O873" s="109"/>
    </row>
    <row r="874" spans="1:15" s="5" customFormat="1" ht="12">
      <c r="A874" s="4"/>
      <c r="O874" s="109"/>
    </row>
    <row r="875" spans="1:15" s="5" customFormat="1" ht="12">
      <c r="A875" s="68" t="str">
        <f>+A82</f>
        <v>Institution No.:  GFE </v>
      </c>
      <c r="E875" s="38"/>
      <c r="G875" s="71"/>
      <c r="H875" s="86"/>
      <c r="I875" s="71"/>
      <c r="J875" s="189"/>
      <c r="K875" s="189"/>
      <c r="L875" s="71"/>
      <c r="M875" s="189" t="s">
        <v>53</v>
      </c>
      <c r="O875" s="109"/>
    </row>
    <row r="876" spans="1:15" s="5" customFormat="1" ht="12">
      <c r="A876" s="428" t="s">
        <v>166</v>
      </c>
      <c r="B876" s="428"/>
      <c r="C876" s="428"/>
      <c r="D876" s="428"/>
      <c r="E876" s="428"/>
      <c r="F876" s="428"/>
      <c r="G876" s="428"/>
      <c r="H876" s="428"/>
      <c r="I876" s="428"/>
      <c r="J876" s="428"/>
      <c r="K876" s="73"/>
      <c r="O876" s="109"/>
    </row>
    <row r="877" spans="1:15" s="5" customFormat="1" ht="12">
      <c r="A877" s="68" t="str">
        <f>+A84</f>
        <v>NAME:  University of Colorado - HSC</v>
      </c>
      <c r="F877" s="106"/>
      <c r="G877" s="106"/>
      <c r="H877" s="219"/>
      <c r="I877" s="71"/>
      <c r="J877" s="190"/>
      <c r="K877" s="190"/>
      <c r="L877" s="71"/>
      <c r="M877" s="228" t="str">
        <f>+M84</f>
        <v>Date:  10-07</v>
      </c>
      <c r="O877" s="109"/>
    </row>
    <row r="878" spans="1:15" s="5" customFormat="1" ht="12">
      <c r="A878" s="15" t="s">
        <v>1</v>
      </c>
      <c r="B878" s="15" t="s">
        <v>1</v>
      </c>
      <c r="C878" s="15" t="s">
        <v>1</v>
      </c>
      <c r="D878" s="15" t="s">
        <v>1</v>
      </c>
      <c r="E878" s="15" t="s">
        <v>1</v>
      </c>
      <c r="F878" s="15" t="s">
        <v>1</v>
      </c>
      <c r="G878" s="15" t="s">
        <v>1</v>
      </c>
      <c r="H878" s="15" t="s">
        <v>1</v>
      </c>
      <c r="I878" s="15" t="s">
        <v>1</v>
      </c>
      <c r="J878" s="15" t="s">
        <v>1</v>
      </c>
      <c r="K878" s="15"/>
      <c r="L878" s="15" t="s">
        <v>1</v>
      </c>
      <c r="M878" s="15" t="s">
        <v>1</v>
      </c>
      <c r="O878" s="109"/>
    </row>
    <row r="879" spans="1:15" s="5" customFormat="1" ht="12">
      <c r="A879" s="73" t="s">
        <v>2</v>
      </c>
      <c r="E879" s="73" t="s">
        <v>2</v>
      </c>
      <c r="F879" s="1"/>
      <c r="G879" s="123"/>
      <c r="H879" s="123" t="str">
        <f>$H$86</f>
        <v>2005-06</v>
      </c>
      <c r="I879" s="123"/>
      <c r="J879" s="123" t="str">
        <f>$J$86</f>
        <v>2006-07</v>
      </c>
      <c r="K879" s="123"/>
      <c r="L879" s="123"/>
      <c r="M879" s="123" t="str">
        <f>$M$86</f>
        <v>2007-08</v>
      </c>
      <c r="O879" s="109"/>
    </row>
    <row r="880" spans="1:15" s="5" customFormat="1" ht="12">
      <c r="A880" s="73" t="s">
        <v>4</v>
      </c>
      <c r="C880" s="74" t="s">
        <v>20</v>
      </c>
      <c r="E880" s="73" t="s">
        <v>4</v>
      </c>
      <c r="F880" s="1"/>
      <c r="G880" s="178" t="s">
        <v>21</v>
      </c>
      <c r="H880" s="123" t="s">
        <v>7</v>
      </c>
      <c r="I880" s="178" t="s">
        <v>21</v>
      </c>
      <c r="J880" s="123" t="s">
        <v>7</v>
      </c>
      <c r="K880" s="123"/>
      <c r="L880" s="178" t="s">
        <v>21</v>
      </c>
      <c r="M880" s="123" t="s">
        <v>8</v>
      </c>
      <c r="O880" s="109"/>
    </row>
    <row r="881" spans="1:15" s="5" customFormat="1" ht="12">
      <c r="A881" s="15" t="s">
        <v>1</v>
      </c>
      <c r="B881" s="15" t="s">
        <v>1</v>
      </c>
      <c r="C881" s="15" t="s">
        <v>1</v>
      </c>
      <c r="D881" s="15" t="s">
        <v>1</v>
      </c>
      <c r="E881" s="15" t="s">
        <v>1</v>
      </c>
      <c r="F881" s="15" t="s">
        <v>1</v>
      </c>
      <c r="G881" s="15" t="s">
        <v>1</v>
      </c>
      <c r="H881" s="15" t="s">
        <v>1</v>
      </c>
      <c r="I881" s="15" t="s">
        <v>1</v>
      </c>
      <c r="J881" s="176" t="s">
        <v>1</v>
      </c>
      <c r="K881" s="176"/>
      <c r="L881" s="15" t="s">
        <v>1</v>
      </c>
      <c r="M881" s="176" t="s">
        <v>1</v>
      </c>
      <c r="O881" s="109"/>
    </row>
    <row r="882" spans="1:15" s="5" customFormat="1" ht="12">
      <c r="A882" s="41">
        <v>1</v>
      </c>
      <c r="C882" s="4" t="s">
        <v>54</v>
      </c>
      <c r="E882" s="38">
        <v>1</v>
      </c>
      <c r="F882" s="27"/>
      <c r="G882" s="180"/>
      <c r="H882" s="179">
        <f>-701326+17234+23089+1774859+345-195333+1+4841864-3542509</f>
        <v>2218224</v>
      </c>
      <c r="I882" s="180"/>
      <c r="J882" s="179">
        <f>-484115+4792437-3504868+600+1261325+24149+19944</f>
        <v>2109472</v>
      </c>
      <c r="K882" s="179"/>
      <c r="L882" s="180"/>
      <c r="M882" s="179">
        <f>-826109+1521736+1000+1509085+20250</f>
        <v>2225962</v>
      </c>
      <c r="O882" s="109"/>
    </row>
    <row r="883" spans="1:15" s="5" customFormat="1" ht="12">
      <c r="A883" s="41">
        <f aca="true" t="shared" si="16" ref="A883:A900">(A882+1)</f>
        <v>2</v>
      </c>
      <c r="C883" s="27"/>
      <c r="E883" s="38">
        <v>2</v>
      </c>
      <c r="F883" s="27"/>
      <c r="G883" s="180"/>
      <c r="H883" s="179"/>
      <c r="I883" s="180"/>
      <c r="J883" s="179"/>
      <c r="K883" s="179"/>
      <c r="L883" s="180"/>
      <c r="M883" s="179"/>
      <c r="O883" s="109"/>
    </row>
    <row r="884" spans="1:15" s="5" customFormat="1" ht="12">
      <c r="A884" s="41">
        <f t="shared" si="16"/>
        <v>3</v>
      </c>
      <c r="C884" s="27"/>
      <c r="E884" s="38">
        <v>3</v>
      </c>
      <c r="F884" s="27"/>
      <c r="G884" s="180"/>
      <c r="H884" s="179"/>
      <c r="I884" s="180"/>
      <c r="J884" s="179"/>
      <c r="K884" s="179"/>
      <c r="L884" s="180"/>
      <c r="M884" s="179"/>
      <c r="O884" s="109"/>
    </row>
    <row r="885" spans="1:15" s="5" customFormat="1" ht="12">
      <c r="A885" s="41">
        <f t="shared" si="16"/>
        <v>4</v>
      </c>
      <c r="C885" s="27"/>
      <c r="E885" s="38">
        <v>4</v>
      </c>
      <c r="F885" s="27"/>
      <c r="G885" s="180"/>
      <c r="H885" s="179"/>
      <c r="I885" s="180"/>
      <c r="J885" s="179"/>
      <c r="K885" s="179"/>
      <c r="L885" s="180"/>
      <c r="M885" s="179"/>
      <c r="O885" s="109"/>
    </row>
    <row r="886" spans="1:15" s="5" customFormat="1" ht="12">
      <c r="A886" s="41">
        <f t="shared" si="16"/>
        <v>5</v>
      </c>
      <c r="C886" s="27"/>
      <c r="E886" s="38">
        <v>5</v>
      </c>
      <c r="F886" s="27"/>
      <c r="G886" s="180"/>
      <c r="H886" s="179"/>
      <c r="I886" s="180"/>
      <c r="J886" s="179"/>
      <c r="K886" s="179"/>
      <c r="L886" s="180"/>
      <c r="M886" s="179"/>
      <c r="O886" s="109"/>
    </row>
    <row r="887" spans="1:15" s="5" customFormat="1" ht="12">
      <c r="A887" s="41">
        <f t="shared" si="16"/>
        <v>6</v>
      </c>
      <c r="C887" s="27"/>
      <c r="E887" s="38">
        <v>6</v>
      </c>
      <c r="F887" s="27"/>
      <c r="G887" s="180"/>
      <c r="H887" s="179"/>
      <c r="I887" s="180"/>
      <c r="J887" s="179"/>
      <c r="K887" s="179"/>
      <c r="L887" s="180"/>
      <c r="M887" s="179"/>
      <c r="O887" s="109"/>
    </row>
    <row r="888" spans="1:15" s="5" customFormat="1" ht="12">
      <c r="A888" s="41">
        <f t="shared" si="16"/>
        <v>7</v>
      </c>
      <c r="C888" s="27"/>
      <c r="E888" s="38">
        <v>7</v>
      </c>
      <c r="F888" s="27"/>
      <c r="G888" s="180"/>
      <c r="H888" s="179"/>
      <c r="I888" s="180"/>
      <c r="J888" s="179"/>
      <c r="K888" s="179"/>
      <c r="L888" s="180"/>
      <c r="M888" s="179"/>
      <c r="O888" s="109"/>
    </row>
    <row r="889" spans="1:15" s="5" customFormat="1" ht="12">
      <c r="A889" s="41">
        <f t="shared" si="16"/>
        <v>8</v>
      </c>
      <c r="C889" s="27"/>
      <c r="E889" s="38">
        <v>8</v>
      </c>
      <c r="F889" s="27"/>
      <c r="G889" s="180"/>
      <c r="H889" s="179"/>
      <c r="I889" s="180"/>
      <c r="J889" s="179"/>
      <c r="K889" s="179"/>
      <c r="L889" s="180"/>
      <c r="M889" s="179"/>
      <c r="O889" s="109"/>
    </row>
    <row r="890" spans="1:15" s="5" customFormat="1" ht="12">
      <c r="A890" s="41">
        <f t="shared" si="16"/>
        <v>9</v>
      </c>
      <c r="C890" s="27"/>
      <c r="E890" s="38">
        <v>9</v>
      </c>
      <c r="F890" s="27"/>
      <c r="G890" s="180"/>
      <c r="H890" s="179"/>
      <c r="I890" s="180"/>
      <c r="J890" s="179"/>
      <c r="K890" s="179"/>
      <c r="L890" s="180"/>
      <c r="M890" s="179"/>
      <c r="O890" s="109"/>
    </row>
    <row r="891" spans="1:15" s="5" customFormat="1" ht="12">
      <c r="A891" s="41">
        <f t="shared" si="16"/>
        <v>10</v>
      </c>
      <c r="C891" s="27"/>
      <c r="E891" s="38">
        <v>10</v>
      </c>
      <c r="F891" s="27"/>
      <c r="G891" s="180"/>
      <c r="H891" s="179"/>
      <c r="I891" s="180"/>
      <c r="J891" s="179"/>
      <c r="K891" s="179"/>
      <c r="L891" s="180"/>
      <c r="M891" s="179"/>
      <c r="O891" s="109"/>
    </row>
    <row r="892" spans="1:15" s="5" customFormat="1" ht="12">
      <c r="A892" s="41">
        <f t="shared" si="16"/>
        <v>11</v>
      </c>
      <c r="C892" s="27"/>
      <c r="E892" s="38">
        <v>11</v>
      </c>
      <c r="G892" s="180"/>
      <c r="H892" s="179"/>
      <c r="I892" s="180"/>
      <c r="J892" s="179"/>
      <c r="K892" s="179"/>
      <c r="L892" s="180"/>
      <c r="M892" s="179"/>
      <c r="O892" s="109"/>
    </row>
    <row r="893" spans="1:15" s="5" customFormat="1" ht="12">
      <c r="A893" s="41">
        <f t="shared" si="16"/>
        <v>12</v>
      </c>
      <c r="C893" s="27"/>
      <c r="E893" s="38">
        <v>12</v>
      </c>
      <c r="G893" s="180"/>
      <c r="H893" s="179"/>
      <c r="I893" s="180"/>
      <c r="J893" s="179"/>
      <c r="K893" s="179"/>
      <c r="L893" s="180"/>
      <c r="M893" s="179"/>
      <c r="O893" s="109"/>
    </row>
    <row r="894" spans="1:15" s="5" customFormat="1" ht="12">
      <c r="A894" s="41">
        <f t="shared" si="16"/>
        <v>13</v>
      </c>
      <c r="C894" s="27"/>
      <c r="E894" s="38">
        <v>13</v>
      </c>
      <c r="F894" s="27"/>
      <c r="G894" s="180"/>
      <c r="H894" s="179"/>
      <c r="I894" s="180"/>
      <c r="J894" s="179"/>
      <c r="K894" s="179"/>
      <c r="L894" s="180"/>
      <c r="M894" s="179"/>
      <c r="O894" s="109"/>
    </row>
    <row r="895" spans="1:15" s="5" customFormat="1" ht="12">
      <c r="A895" s="41">
        <f t="shared" si="16"/>
        <v>14</v>
      </c>
      <c r="C895" s="27"/>
      <c r="E895" s="38">
        <v>14</v>
      </c>
      <c r="F895" s="27"/>
      <c r="G895" s="180"/>
      <c r="H895" s="179"/>
      <c r="I895" s="180"/>
      <c r="J895" s="179"/>
      <c r="K895" s="179"/>
      <c r="L895" s="180"/>
      <c r="M895" s="179"/>
      <c r="O895" s="109"/>
    </row>
    <row r="896" spans="1:15" s="5" customFormat="1" ht="12">
      <c r="A896" s="41">
        <f t="shared" si="16"/>
        <v>15</v>
      </c>
      <c r="C896" s="27"/>
      <c r="E896" s="38">
        <v>15</v>
      </c>
      <c r="F896" s="27"/>
      <c r="G896" s="180"/>
      <c r="H896" s="179"/>
      <c r="I896" s="180"/>
      <c r="J896" s="179"/>
      <c r="K896" s="179"/>
      <c r="L896" s="180"/>
      <c r="M896" s="179"/>
      <c r="O896" s="109"/>
    </row>
    <row r="897" spans="1:15" s="5" customFormat="1" ht="12">
      <c r="A897" s="41">
        <f t="shared" si="16"/>
        <v>16</v>
      </c>
      <c r="C897" s="27"/>
      <c r="E897" s="38">
        <v>16</v>
      </c>
      <c r="F897" s="27"/>
      <c r="G897" s="180"/>
      <c r="H897" s="179"/>
      <c r="I897" s="180"/>
      <c r="J897" s="179"/>
      <c r="K897" s="179"/>
      <c r="L897" s="180"/>
      <c r="M897" s="179"/>
      <c r="O897" s="109"/>
    </row>
    <row r="898" spans="1:15" s="5" customFormat="1" ht="12">
      <c r="A898" s="41">
        <f t="shared" si="16"/>
        <v>17</v>
      </c>
      <c r="C898" s="27"/>
      <c r="E898" s="38">
        <v>17</v>
      </c>
      <c r="F898" s="27"/>
      <c r="G898" s="180"/>
      <c r="H898" s="179"/>
      <c r="I898" s="180"/>
      <c r="J898" s="179"/>
      <c r="K898" s="179"/>
      <c r="L898" s="180"/>
      <c r="M898" s="179"/>
      <c r="O898" s="109"/>
    </row>
    <row r="899" spans="1:15" s="5" customFormat="1" ht="12">
      <c r="A899" s="41">
        <f t="shared" si="16"/>
        <v>18</v>
      </c>
      <c r="C899" s="27"/>
      <c r="E899" s="38">
        <v>18</v>
      </c>
      <c r="F899" s="27"/>
      <c r="G899" s="180"/>
      <c r="H899" s="179"/>
      <c r="I899" s="180"/>
      <c r="J899" s="179"/>
      <c r="K899" s="179"/>
      <c r="L899" s="180"/>
      <c r="M899" s="179"/>
      <c r="O899" s="109"/>
    </row>
    <row r="900" spans="1:15" s="5" customFormat="1" ht="12">
      <c r="A900" s="41">
        <f t="shared" si="16"/>
        <v>19</v>
      </c>
      <c r="C900" s="27"/>
      <c r="E900" s="38">
        <v>19</v>
      </c>
      <c r="F900" s="27"/>
      <c r="G900" s="180"/>
      <c r="H900" s="179"/>
      <c r="I900" s="180"/>
      <c r="J900" s="179"/>
      <c r="K900" s="179"/>
      <c r="L900" s="180"/>
      <c r="M900" s="179"/>
      <c r="O900" s="109"/>
    </row>
    <row r="901" spans="1:15" s="5" customFormat="1" ht="12">
      <c r="A901" s="41">
        <v>20</v>
      </c>
      <c r="E901" s="41">
        <v>20</v>
      </c>
      <c r="F901" s="24"/>
      <c r="G901" s="24"/>
      <c r="H901" s="24"/>
      <c r="I901" s="24"/>
      <c r="J901" s="24"/>
      <c r="K901" s="24"/>
      <c r="L901" s="24"/>
      <c r="M901" s="24"/>
      <c r="O901" s="109"/>
    </row>
    <row r="902" spans="1:15" s="5" customFormat="1" ht="12">
      <c r="A902" s="41">
        <v>21</v>
      </c>
      <c r="E902" s="41">
        <v>21</v>
      </c>
      <c r="F902" s="24"/>
      <c r="G902" s="24"/>
      <c r="H902" s="86"/>
      <c r="I902" s="24"/>
      <c r="J902" s="86"/>
      <c r="K902" s="86"/>
      <c r="L902" s="24"/>
      <c r="M902" s="86"/>
      <c r="O902" s="109"/>
    </row>
    <row r="903" spans="1:15" s="5" customFormat="1" ht="12">
      <c r="A903" s="41">
        <v>22</v>
      </c>
      <c r="E903" s="41">
        <v>22</v>
      </c>
      <c r="G903" s="89"/>
      <c r="H903" s="86"/>
      <c r="I903" s="89"/>
      <c r="J903" s="86"/>
      <c r="K903" s="86"/>
      <c r="L903" s="89"/>
      <c r="M903" s="86"/>
      <c r="O903" s="109"/>
    </row>
    <row r="904" spans="1:15" s="5" customFormat="1" ht="12">
      <c r="A904" s="41">
        <v>23</v>
      </c>
      <c r="D904" s="47"/>
      <c r="E904" s="41">
        <v>23</v>
      </c>
      <c r="H904" s="86"/>
      <c r="J904" s="86"/>
      <c r="K904" s="86"/>
      <c r="M904" s="86"/>
      <c r="O904" s="109"/>
    </row>
    <row r="905" spans="1:15" s="5" customFormat="1" ht="12">
      <c r="A905" s="41">
        <v>24</v>
      </c>
      <c r="D905" s="47"/>
      <c r="E905" s="41">
        <v>24</v>
      </c>
      <c r="H905" s="86"/>
      <c r="J905" s="86"/>
      <c r="K905" s="86"/>
      <c r="M905" s="86"/>
      <c r="O905" s="109"/>
    </row>
    <row r="906" spans="5:15" s="5" customFormat="1" ht="12">
      <c r="E906" s="38"/>
      <c r="F906" s="24" t="s">
        <v>1</v>
      </c>
      <c r="G906" s="24" t="s">
        <v>1</v>
      </c>
      <c r="H906" s="24" t="s">
        <v>1</v>
      </c>
      <c r="I906" s="24" t="s">
        <v>1</v>
      </c>
      <c r="J906" s="24" t="s">
        <v>1</v>
      </c>
      <c r="K906" s="24"/>
      <c r="L906" s="24" t="s">
        <v>1</v>
      </c>
      <c r="M906" s="24" t="s">
        <v>1</v>
      </c>
      <c r="O906" s="109"/>
    </row>
    <row r="907" spans="1:15" s="5" customFormat="1" ht="19.5" customHeight="1">
      <c r="A907" s="41">
        <v>25</v>
      </c>
      <c r="C907" s="4" t="s">
        <v>648</v>
      </c>
      <c r="E907" s="38">
        <v>25</v>
      </c>
      <c r="G907" s="149">
        <f>SUM(G882:G903)</f>
        <v>0</v>
      </c>
      <c r="H907" s="25">
        <f>SUM(H882:H903)</f>
        <v>2218224</v>
      </c>
      <c r="I907" s="149">
        <f>SUM(I882:I903)</f>
        <v>0</v>
      </c>
      <c r="J907" s="25">
        <f>SUM(J882:J903)</f>
        <v>2109472</v>
      </c>
      <c r="K907" s="25"/>
      <c r="L907" s="149">
        <f>SUM(L882:L903)</f>
        <v>0</v>
      </c>
      <c r="M907" s="25">
        <f>SUM(M882:M903)</f>
        <v>2225962</v>
      </c>
      <c r="O907" s="109"/>
    </row>
    <row r="908" spans="4:15" s="5" customFormat="1" ht="12">
      <c r="D908" s="47" t="s">
        <v>536</v>
      </c>
      <c r="E908" s="38"/>
      <c r="F908" s="24" t="s">
        <v>1</v>
      </c>
      <c r="G908" s="24" t="s">
        <v>1</v>
      </c>
      <c r="H908" s="24" t="s">
        <v>1</v>
      </c>
      <c r="I908" s="24" t="s">
        <v>1</v>
      </c>
      <c r="J908" s="24" t="s">
        <v>1</v>
      </c>
      <c r="K908" s="24"/>
      <c r="L908" s="24" t="s">
        <v>1</v>
      </c>
      <c r="M908" s="24" t="s">
        <v>1</v>
      </c>
      <c r="O908" s="109"/>
    </row>
    <row r="909" spans="5:15" s="5" customFormat="1" ht="12">
      <c r="E909" s="38"/>
      <c r="F909" s="24"/>
      <c r="G909" s="24"/>
      <c r="H909" s="173"/>
      <c r="I909" s="24"/>
      <c r="J909" s="24"/>
      <c r="K909" s="24"/>
      <c r="L909" s="24"/>
      <c r="M909" s="24"/>
      <c r="O909" s="109"/>
    </row>
    <row r="910" spans="5:15" s="5" customFormat="1" ht="12">
      <c r="E910" s="38"/>
      <c r="G910" s="71"/>
      <c r="H910" s="86"/>
      <c r="I910" s="71"/>
      <c r="J910" s="86"/>
      <c r="K910" s="86"/>
      <c r="L910" s="71"/>
      <c r="M910" s="86"/>
      <c r="O910" s="109"/>
    </row>
    <row r="911" spans="1:15" s="5" customFormat="1" ht="12">
      <c r="A911" s="5">
        <v>26</v>
      </c>
      <c r="C911" s="5" t="s">
        <v>537</v>
      </c>
      <c r="E911" s="38"/>
      <c r="G911" s="71"/>
      <c r="H911" s="86">
        <v>4841864</v>
      </c>
      <c r="I911" s="71"/>
      <c r="J911" s="86">
        <f>+J415</f>
        <v>4792437</v>
      </c>
      <c r="K911" s="86"/>
      <c r="L911" s="71"/>
      <c r="M911" s="86">
        <f>+M415</f>
        <v>4970419</v>
      </c>
      <c r="O911" s="109"/>
    </row>
    <row r="912" spans="1:15" s="5" customFormat="1" ht="12">
      <c r="A912" s="4"/>
      <c r="O912" s="109"/>
    </row>
    <row r="913" s="5" customFormat="1" ht="12">
      <c r="O913" s="109"/>
    </row>
    <row r="914" s="5" customFormat="1" ht="12">
      <c r="O914" s="109"/>
    </row>
    <row r="915" spans="1:15" s="5" customFormat="1" ht="12">
      <c r="A915" s="68" t="str">
        <f>+A82</f>
        <v>Institution No.:  GFE </v>
      </c>
      <c r="E915" s="38"/>
      <c r="G915" s="71"/>
      <c r="H915" s="86"/>
      <c r="I915" s="71"/>
      <c r="J915" s="189"/>
      <c r="K915" s="189"/>
      <c r="L915" s="71"/>
      <c r="M915" s="189" t="s">
        <v>55</v>
      </c>
      <c r="O915" s="109"/>
    </row>
    <row r="916" spans="1:15" s="5" customFormat="1" ht="12">
      <c r="A916" s="428" t="s">
        <v>167</v>
      </c>
      <c r="B916" s="428"/>
      <c r="C916" s="428"/>
      <c r="D916" s="428"/>
      <c r="E916" s="428"/>
      <c r="F916" s="428"/>
      <c r="G916" s="428"/>
      <c r="H916" s="428"/>
      <c r="I916" s="428"/>
      <c r="J916" s="428"/>
      <c r="K916" s="73"/>
      <c r="O916" s="109"/>
    </row>
    <row r="917" spans="1:15" s="5" customFormat="1" ht="12">
      <c r="A917" s="68" t="str">
        <f>+A84</f>
        <v>NAME:  University of Colorado - HSC</v>
      </c>
      <c r="G917" s="4"/>
      <c r="H917" s="86"/>
      <c r="I917" s="71"/>
      <c r="J917" s="190"/>
      <c r="K917" s="190"/>
      <c r="L917" s="71"/>
      <c r="M917" s="228" t="str">
        <f>+M84</f>
        <v>Date:  10-07</v>
      </c>
      <c r="O917" s="109"/>
    </row>
    <row r="918" spans="1:15" s="5" customFormat="1" ht="12">
      <c r="A918" s="15" t="s">
        <v>1</v>
      </c>
      <c r="B918" s="15" t="s">
        <v>1</v>
      </c>
      <c r="C918" s="15" t="s">
        <v>1</v>
      </c>
      <c r="D918" s="15" t="s">
        <v>1</v>
      </c>
      <c r="E918" s="15" t="s">
        <v>1</v>
      </c>
      <c r="F918" s="15" t="s">
        <v>1</v>
      </c>
      <c r="G918" s="15" t="s">
        <v>1</v>
      </c>
      <c r="H918" s="15" t="s">
        <v>1</v>
      </c>
      <c r="I918" s="15" t="s">
        <v>1</v>
      </c>
      <c r="J918" s="15" t="s">
        <v>1</v>
      </c>
      <c r="K918" s="15"/>
      <c r="L918" s="15" t="s">
        <v>1</v>
      </c>
      <c r="M918" s="15" t="s">
        <v>1</v>
      </c>
      <c r="O918" s="109"/>
    </row>
    <row r="919" spans="1:15" s="5" customFormat="1" ht="12">
      <c r="A919" s="73" t="s">
        <v>2</v>
      </c>
      <c r="E919" s="73" t="s">
        <v>2</v>
      </c>
      <c r="F919" s="1"/>
      <c r="G919" s="123"/>
      <c r="H919" s="123" t="str">
        <f>$H$86</f>
        <v>2005-06</v>
      </c>
      <c r="I919" s="123"/>
      <c r="J919" s="123" t="str">
        <f>$J$86</f>
        <v>2006-07</v>
      </c>
      <c r="K919" s="123"/>
      <c r="L919" s="123"/>
      <c r="M919" s="123" t="str">
        <f>$M$86</f>
        <v>2007-08</v>
      </c>
      <c r="O919" s="109"/>
    </row>
    <row r="920" spans="1:15" s="5" customFormat="1" ht="12">
      <c r="A920" s="73" t="s">
        <v>4</v>
      </c>
      <c r="C920" s="74" t="s">
        <v>20</v>
      </c>
      <c r="E920" s="73" t="s">
        <v>4</v>
      </c>
      <c r="F920" s="1"/>
      <c r="G920" s="178" t="s">
        <v>21</v>
      </c>
      <c r="H920" s="123" t="s">
        <v>7</v>
      </c>
      <c r="I920" s="178" t="s">
        <v>21</v>
      </c>
      <c r="J920" s="123" t="s">
        <v>7</v>
      </c>
      <c r="K920" s="123"/>
      <c r="L920" s="178" t="s">
        <v>21</v>
      </c>
      <c r="M920" s="123" t="s">
        <v>8</v>
      </c>
      <c r="O920" s="109"/>
    </row>
    <row r="921" spans="1:15" s="5" customFormat="1" ht="12">
      <c r="A921" s="15" t="s">
        <v>1</v>
      </c>
      <c r="B921" s="15" t="s">
        <v>1</v>
      </c>
      <c r="C921" s="15" t="s">
        <v>1</v>
      </c>
      <c r="D921" s="15" t="s">
        <v>1</v>
      </c>
      <c r="E921" s="15" t="s">
        <v>1</v>
      </c>
      <c r="F921" s="15" t="s">
        <v>1</v>
      </c>
      <c r="G921" s="15" t="s">
        <v>1</v>
      </c>
      <c r="H921" s="15" t="s">
        <v>1</v>
      </c>
      <c r="I921" s="15" t="s">
        <v>1</v>
      </c>
      <c r="J921" s="176" t="s">
        <v>1</v>
      </c>
      <c r="K921" s="176"/>
      <c r="L921" s="15" t="s">
        <v>1</v>
      </c>
      <c r="M921" s="176" t="s">
        <v>1</v>
      </c>
      <c r="O921" s="109"/>
    </row>
    <row r="922" spans="1:15" s="5" customFormat="1" ht="12">
      <c r="A922" s="41">
        <v>1</v>
      </c>
      <c r="C922" s="4" t="s">
        <v>36</v>
      </c>
      <c r="E922" s="41">
        <v>1</v>
      </c>
      <c r="F922" s="27"/>
      <c r="G922" s="180">
        <v>0</v>
      </c>
      <c r="H922" s="179">
        <v>0</v>
      </c>
      <c r="I922" s="180">
        <v>0</v>
      </c>
      <c r="J922" s="241">
        <v>0</v>
      </c>
      <c r="K922" s="241"/>
      <c r="L922" s="180">
        <v>0</v>
      </c>
      <c r="M922" s="241">
        <v>0</v>
      </c>
      <c r="O922" s="109"/>
    </row>
    <row r="923" spans="1:15" s="5" customFormat="1" ht="12">
      <c r="A923" s="41">
        <v>2</v>
      </c>
      <c r="C923" s="4" t="s">
        <v>37</v>
      </c>
      <c r="E923" s="41">
        <v>2</v>
      </c>
      <c r="F923" s="27"/>
      <c r="G923" s="180"/>
      <c r="H923" s="179">
        <v>0</v>
      </c>
      <c r="I923" s="180"/>
      <c r="J923" s="241">
        <v>0</v>
      </c>
      <c r="K923" s="241"/>
      <c r="L923" s="180"/>
      <c r="M923" s="241">
        <v>0</v>
      </c>
      <c r="O923" s="109"/>
    </row>
    <row r="924" spans="1:15" s="5" customFormat="1" ht="12">
      <c r="A924" s="41">
        <v>3</v>
      </c>
      <c r="E924" s="41">
        <v>3</v>
      </c>
      <c r="F924" s="27"/>
      <c r="G924" s="180"/>
      <c r="H924" s="179"/>
      <c r="I924" s="180"/>
      <c r="J924" s="241"/>
      <c r="K924" s="241"/>
      <c r="L924" s="180"/>
      <c r="M924" s="241"/>
      <c r="O924" s="109"/>
    </row>
    <row r="925" spans="1:15" s="5" customFormat="1" ht="12">
      <c r="A925" s="41">
        <v>4</v>
      </c>
      <c r="C925" s="4" t="s">
        <v>23</v>
      </c>
      <c r="E925" s="41">
        <v>4</v>
      </c>
      <c r="F925" s="27"/>
      <c r="G925" s="89">
        <f>G922</f>
        <v>0</v>
      </c>
      <c r="H925" s="86">
        <f>SUM(H922:H923)</f>
        <v>0</v>
      </c>
      <c r="I925" s="89">
        <f>I922</f>
        <v>0</v>
      </c>
      <c r="J925" s="229">
        <f>SUM(J922:J923)</f>
        <v>0</v>
      </c>
      <c r="K925" s="229"/>
      <c r="L925" s="89">
        <f>L922</f>
        <v>0</v>
      </c>
      <c r="M925" s="229">
        <f>SUM(M922:M923)</f>
        <v>0</v>
      </c>
      <c r="O925" s="109"/>
    </row>
    <row r="926" spans="1:15" s="5" customFormat="1" ht="12">
      <c r="A926" s="41">
        <v>5</v>
      </c>
      <c r="E926" s="41">
        <v>5</v>
      </c>
      <c r="F926" s="27"/>
      <c r="G926" s="89"/>
      <c r="H926" s="86"/>
      <c r="I926" s="89"/>
      <c r="J926" s="229"/>
      <c r="K926" s="229"/>
      <c r="L926" s="89"/>
      <c r="M926" s="229"/>
      <c r="O926" s="109"/>
    </row>
    <row r="927" spans="1:15" s="5" customFormat="1" ht="12">
      <c r="A927" s="41">
        <v>6</v>
      </c>
      <c r="E927" s="41">
        <v>6</v>
      </c>
      <c r="F927" s="27"/>
      <c r="G927" s="89"/>
      <c r="H927" s="86"/>
      <c r="I927" s="89"/>
      <c r="J927" s="229"/>
      <c r="K927" s="229"/>
      <c r="L927" s="89"/>
      <c r="M927" s="229"/>
      <c r="O927" s="109"/>
    </row>
    <row r="928" spans="1:15" s="5" customFormat="1" ht="12">
      <c r="A928" s="41">
        <v>7</v>
      </c>
      <c r="C928" s="4" t="s">
        <v>25</v>
      </c>
      <c r="E928" s="41">
        <v>7</v>
      </c>
      <c r="F928" s="27"/>
      <c r="G928" s="180">
        <v>0</v>
      </c>
      <c r="H928" s="179">
        <v>0</v>
      </c>
      <c r="I928" s="180">
        <v>0</v>
      </c>
      <c r="J928" s="241">
        <v>0</v>
      </c>
      <c r="K928" s="241"/>
      <c r="L928" s="180">
        <v>0</v>
      </c>
      <c r="M928" s="241">
        <v>0</v>
      </c>
      <c r="O928" s="109"/>
    </row>
    <row r="929" spans="1:15" s="5" customFormat="1" ht="12">
      <c r="A929" s="41">
        <v>8</v>
      </c>
      <c r="C929" s="4" t="s">
        <v>26</v>
      </c>
      <c r="E929" s="41">
        <v>8</v>
      </c>
      <c r="F929" s="27"/>
      <c r="G929" s="180"/>
      <c r="H929" s="179">
        <v>0</v>
      </c>
      <c r="I929" s="180"/>
      <c r="J929" s="241">
        <v>0</v>
      </c>
      <c r="K929" s="241"/>
      <c r="L929" s="180"/>
      <c r="M929" s="241">
        <v>0</v>
      </c>
      <c r="O929" s="109"/>
    </row>
    <row r="930" spans="1:15" s="5" customFormat="1" ht="12">
      <c r="A930" s="41">
        <v>9</v>
      </c>
      <c r="C930" s="4" t="s">
        <v>27</v>
      </c>
      <c r="E930" s="41">
        <v>9</v>
      </c>
      <c r="F930" s="27"/>
      <c r="G930" s="89">
        <f>G928</f>
        <v>0</v>
      </c>
      <c r="H930" s="86">
        <f>SUM(H928:H929)</f>
        <v>0</v>
      </c>
      <c r="I930" s="89">
        <f>I928</f>
        <v>0</v>
      </c>
      <c r="J930" s="229">
        <f>SUM(J928:J929)</f>
        <v>0</v>
      </c>
      <c r="K930" s="229"/>
      <c r="L930" s="89">
        <f>L928</f>
        <v>0</v>
      </c>
      <c r="M930" s="229">
        <f>SUM(M928:M929)</f>
        <v>0</v>
      </c>
      <c r="O930" s="109"/>
    </row>
    <row r="931" spans="1:15" s="5" customFormat="1" ht="12">
      <c r="A931" s="41">
        <v>10</v>
      </c>
      <c r="E931" s="41">
        <v>10</v>
      </c>
      <c r="F931" s="27"/>
      <c r="G931" s="89"/>
      <c r="H931" s="86"/>
      <c r="I931" s="89"/>
      <c r="J931" s="229"/>
      <c r="K931" s="229"/>
      <c r="L931" s="89"/>
      <c r="M931" s="229"/>
      <c r="O931" s="109"/>
    </row>
    <row r="932" spans="1:15" s="5" customFormat="1" ht="12">
      <c r="A932" s="41">
        <v>11</v>
      </c>
      <c r="C932" s="4" t="s">
        <v>28</v>
      </c>
      <c r="E932" s="41">
        <v>11</v>
      </c>
      <c r="F932" s="27"/>
      <c r="G932" s="89">
        <f>SUM(G930,G925)</f>
        <v>0</v>
      </c>
      <c r="H932" s="86">
        <f>SUM(H930,H925)</f>
        <v>0</v>
      </c>
      <c r="I932" s="89">
        <f>SUM(I930,I925)</f>
        <v>0</v>
      </c>
      <c r="J932" s="229">
        <f>SUM(J930,J925)</f>
        <v>0</v>
      </c>
      <c r="K932" s="229"/>
      <c r="L932" s="89">
        <f>SUM(L930,L925)</f>
        <v>0</v>
      </c>
      <c r="M932" s="229">
        <f>SUM(M930,M925)</f>
        <v>0</v>
      </c>
      <c r="O932" s="109"/>
    </row>
    <row r="933" spans="1:15" s="5" customFormat="1" ht="12">
      <c r="A933" s="41">
        <v>12</v>
      </c>
      <c r="E933" s="41">
        <v>12</v>
      </c>
      <c r="F933" s="27"/>
      <c r="J933" s="172"/>
      <c r="K933" s="172"/>
      <c r="M933" s="172"/>
      <c r="O933" s="109"/>
    </row>
    <row r="934" spans="1:15" s="5" customFormat="1" ht="12">
      <c r="A934" s="41">
        <v>13</v>
      </c>
      <c r="C934" s="4" t="s">
        <v>38</v>
      </c>
      <c r="E934" s="41">
        <v>13</v>
      </c>
      <c r="F934" s="27"/>
      <c r="G934" s="180">
        <v>0</v>
      </c>
      <c r="H934" s="179">
        <v>0</v>
      </c>
      <c r="I934" s="180">
        <v>0</v>
      </c>
      <c r="J934" s="241">
        <v>0</v>
      </c>
      <c r="K934" s="241"/>
      <c r="L934" s="180">
        <v>0</v>
      </c>
      <c r="M934" s="241">
        <v>0</v>
      </c>
      <c r="O934" s="109"/>
    </row>
    <row r="935" spans="1:15" s="5" customFormat="1" ht="12">
      <c r="A935" s="41">
        <v>14</v>
      </c>
      <c r="E935" s="41">
        <v>14</v>
      </c>
      <c r="F935" s="27"/>
      <c r="G935" s="180"/>
      <c r="H935" s="27"/>
      <c r="I935" s="180"/>
      <c r="J935" s="241"/>
      <c r="K935" s="241"/>
      <c r="L935" s="180"/>
      <c r="M935" s="241"/>
      <c r="O935" s="109"/>
    </row>
    <row r="936" spans="1:15" s="5" customFormat="1" ht="12">
      <c r="A936" s="41">
        <v>15</v>
      </c>
      <c r="C936" s="4" t="s">
        <v>30</v>
      </c>
      <c r="E936" s="41">
        <v>15</v>
      </c>
      <c r="F936" s="27"/>
      <c r="G936" s="180"/>
      <c r="H936" s="241">
        <v>0</v>
      </c>
      <c r="I936" s="180"/>
      <c r="J936" s="241">
        <v>0</v>
      </c>
      <c r="K936" s="241"/>
      <c r="L936" s="180"/>
      <c r="M936" s="241">
        <v>0</v>
      </c>
      <c r="O936" s="109"/>
    </row>
    <row r="937" spans="1:15" s="5" customFormat="1" ht="12">
      <c r="A937" s="41">
        <v>16</v>
      </c>
      <c r="C937" s="4" t="s">
        <v>31</v>
      </c>
      <c r="E937" s="41">
        <v>16</v>
      </c>
      <c r="F937" s="27"/>
      <c r="G937" s="180"/>
      <c r="H937" s="241">
        <f>9106-9126</f>
        <v>-20</v>
      </c>
      <c r="I937" s="180"/>
      <c r="J937" s="241">
        <f>4270-3475</f>
        <v>795</v>
      </c>
      <c r="K937" s="241"/>
      <c r="L937" s="180"/>
      <c r="M937" s="241">
        <v>0</v>
      </c>
      <c r="O937" s="109"/>
    </row>
    <row r="938" spans="1:15" s="5" customFormat="1" ht="12">
      <c r="A938" s="41">
        <v>17</v>
      </c>
      <c r="C938" s="4" t="s">
        <v>32</v>
      </c>
      <c r="E938" s="41">
        <v>17</v>
      </c>
      <c r="F938" s="241"/>
      <c r="G938" s="241"/>
      <c r="H938" s="241">
        <v>0</v>
      </c>
      <c r="I938" s="241"/>
      <c r="J938" s="241">
        <v>0</v>
      </c>
      <c r="K938" s="241"/>
      <c r="L938" s="241"/>
      <c r="M938" s="241">
        <v>0</v>
      </c>
      <c r="O938" s="109"/>
    </row>
    <row r="939" spans="1:15" s="5" customFormat="1" ht="12">
      <c r="A939" s="41">
        <v>18</v>
      </c>
      <c r="E939" s="41">
        <v>18</v>
      </c>
      <c r="F939" s="27"/>
      <c r="G939" s="180"/>
      <c r="H939" s="179"/>
      <c r="I939" s="180"/>
      <c r="J939" s="179"/>
      <c r="K939" s="179"/>
      <c r="L939" s="180"/>
      <c r="M939" s="179"/>
      <c r="O939" s="109"/>
    </row>
    <row r="940" spans="1:15" s="5" customFormat="1" ht="12">
      <c r="A940" s="41">
        <v>19</v>
      </c>
      <c r="E940" s="41">
        <v>19</v>
      </c>
      <c r="F940" s="27"/>
      <c r="G940" s="180"/>
      <c r="O940" s="109"/>
    </row>
    <row r="941" spans="1:15" s="5" customFormat="1" ht="12">
      <c r="A941" s="41">
        <v>20</v>
      </c>
      <c r="E941" s="41">
        <v>20</v>
      </c>
      <c r="F941" s="24"/>
      <c r="G941" s="24"/>
      <c r="H941" s="24"/>
      <c r="I941" s="24"/>
      <c r="J941" s="24"/>
      <c r="K941" s="24"/>
      <c r="L941" s="24"/>
      <c r="M941" s="24"/>
      <c r="O941" s="109"/>
    </row>
    <row r="942" spans="1:15" s="5" customFormat="1" ht="12">
      <c r="A942" s="41">
        <v>21</v>
      </c>
      <c r="E942" s="41">
        <v>21</v>
      </c>
      <c r="F942" s="24"/>
      <c r="G942" s="24"/>
      <c r="H942" s="86"/>
      <c r="I942" s="24"/>
      <c r="J942" s="86"/>
      <c r="K942" s="86"/>
      <c r="L942" s="24"/>
      <c r="M942" s="86"/>
      <c r="O942" s="109"/>
    </row>
    <row r="943" spans="1:15" s="5" customFormat="1" ht="12">
      <c r="A943" s="41">
        <v>22</v>
      </c>
      <c r="E943" s="41">
        <v>22</v>
      </c>
      <c r="G943" s="89"/>
      <c r="H943" s="86"/>
      <c r="I943" s="89"/>
      <c r="J943" s="86"/>
      <c r="K943" s="86"/>
      <c r="L943" s="89"/>
      <c r="M943" s="86"/>
      <c r="O943" s="109"/>
    </row>
    <row r="944" spans="1:15" s="5" customFormat="1" ht="12">
      <c r="A944" s="41">
        <v>23</v>
      </c>
      <c r="D944" s="47"/>
      <c r="E944" s="41">
        <v>23</v>
      </c>
      <c r="H944" s="86"/>
      <c r="J944" s="86"/>
      <c r="K944" s="86"/>
      <c r="M944" s="86"/>
      <c r="O944" s="109"/>
    </row>
    <row r="945" spans="1:15" s="5" customFormat="1" ht="12">
      <c r="A945" s="41">
        <v>24</v>
      </c>
      <c r="D945" s="47"/>
      <c r="E945" s="41">
        <v>24</v>
      </c>
      <c r="H945" s="86"/>
      <c r="J945" s="86"/>
      <c r="K945" s="86"/>
      <c r="M945" s="86"/>
      <c r="O945" s="109"/>
    </row>
    <row r="946" spans="5:15" s="5" customFormat="1" ht="12">
      <c r="E946" s="38"/>
      <c r="F946" s="24" t="s">
        <v>1</v>
      </c>
      <c r="G946" s="24" t="s">
        <v>1</v>
      </c>
      <c r="H946" s="24" t="s">
        <v>1</v>
      </c>
      <c r="I946" s="24" t="s">
        <v>1</v>
      </c>
      <c r="J946" s="24" t="s">
        <v>1</v>
      </c>
      <c r="K946" s="24"/>
      <c r="L946" s="24" t="s">
        <v>1</v>
      </c>
      <c r="M946" s="24" t="s">
        <v>1</v>
      </c>
      <c r="O946" s="109"/>
    </row>
    <row r="947" spans="1:15" s="5" customFormat="1" ht="19.5" customHeight="1">
      <c r="A947" s="41">
        <v>25</v>
      </c>
      <c r="C947" s="4" t="s">
        <v>274</v>
      </c>
      <c r="E947" s="38">
        <v>25</v>
      </c>
      <c r="G947" s="77">
        <f>SUM(G932:G943)</f>
        <v>0</v>
      </c>
      <c r="H947" s="86">
        <f>SUM(H932:H943)</f>
        <v>-20</v>
      </c>
      <c r="I947" s="77">
        <f>SUM(I932:I943)</f>
        <v>0</v>
      </c>
      <c r="J947" s="86">
        <f>SUM(J932:J943)</f>
        <v>795</v>
      </c>
      <c r="K947" s="86"/>
      <c r="L947" s="77">
        <f>SUM(L932:L943)</f>
        <v>0</v>
      </c>
      <c r="M947" s="86">
        <f>SUM(M932:M943)</f>
        <v>0</v>
      </c>
      <c r="O947" s="109"/>
    </row>
    <row r="948" spans="5:15" s="5" customFormat="1" ht="12">
      <c r="E948" s="38"/>
      <c r="F948" s="24" t="s">
        <v>1</v>
      </c>
      <c r="G948" s="24" t="s">
        <v>1</v>
      </c>
      <c r="H948" s="24" t="s">
        <v>1</v>
      </c>
      <c r="I948" s="24" t="s">
        <v>1</v>
      </c>
      <c r="J948" s="24" t="s">
        <v>1</v>
      </c>
      <c r="K948" s="24"/>
      <c r="L948" s="24" t="s">
        <v>1</v>
      </c>
      <c r="M948" s="24" t="s">
        <v>1</v>
      </c>
      <c r="O948" s="109"/>
    </row>
    <row r="949" spans="5:15" s="5" customFormat="1" ht="12">
      <c r="E949" s="38"/>
      <c r="F949" s="24"/>
      <c r="G949" s="24"/>
      <c r="H949" s="24"/>
      <c r="I949" s="24"/>
      <c r="J949" s="24"/>
      <c r="K949" s="24"/>
      <c r="L949" s="24"/>
      <c r="M949" s="24"/>
      <c r="O949" s="109"/>
    </row>
    <row r="950" spans="8:15" s="5" customFormat="1" ht="12">
      <c r="H950" s="192"/>
      <c r="O950" s="109"/>
    </row>
    <row r="951" spans="1:15" s="5" customFormat="1" ht="12">
      <c r="A951" s="4"/>
      <c r="H951" s="86"/>
      <c r="J951" s="86"/>
      <c r="K951" s="86"/>
      <c r="M951" s="86"/>
      <c r="O951" s="109"/>
    </row>
    <row r="952" spans="1:15" s="5" customFormat="1" ht="12">
      <c r="A952" s="68" t="str">
        <f>+A82</f>
        <v>Institution No.:  GFE </v>
      </c>
      <c r="E952" s="38"/>
      <c r="G952" s="71"/>
      <c r="H952" s="86"/>
      <c r="I952" s="71"/>
      <c r="J952" s="189"/>
      <c r="K952" s="189"/>
      <c r="L952" s="71"/>
      <c r="M952" s="189" t="s">
        <v>56</v>
      </c>
      <c r="O952" s="109"/>
    </row>
    <row r="953" spans="1:15" s="5" customFormat="1" ht="12">
      <c r="A953" s="429" t="s">
        <v>57</v>
      </c>
      <c r="B953" s="429"/>
      <c r="C953" s="429"/>
      <c r="D953" s="429"/>
      <c r="E953" s="429"/>
      <c r="F953" s="429"/>
      <c r="G953" s="429"/>
      <c r="H953" s="429"/>
      <c r="I953" s="429"/>
      <c r="J953" s="429"/>
      <c r="K953" s="1"/>
      <c r="O953" s="109"/>
    </row>
    <row r="954" spans="1:15" s="5" customFormat="1" ht="12">
      <c r="A954" s="68" t="str">
        <f>+A84</f>
        <v>NAME:  University of Colorado - HSC</v>
      </c>
      <c r="H954" s="217"/>
      <c r="I954" s="71"/>
      <c r="J954" s="190"/>
      <c r="K954" s="190"/>
      <c r="L954" s="71"/>
      <c r="M954" s="228" t="str">
        <f>+M84</f>
        <v>Date:  10-07</v>
      </c>
      <c r="O954" s="109"/>
    </row>
    <row r="955" spans="1:15" s="5" customFormat="1" ht="12">
      <c r="A955" s="15" t="s">
        <v>1</v>
      </c>
      <c r="B955" s="15" t="s">
        <v>1</v>
      </c>
      <c r="C955" s="15" t="s">
        <v>1</v>
      </c>
      <c r="D955" s="15" t="s">
        <v>1</v>
      </c>
      <c r="E955" s="15" t="s">
        <v>1</v>
      </c>
      <c r="F955" s="15" t="s">
        <v>1</v>
      </c>
      <c r="G955" s="15" t="s">
        <v>1</v>
      </c>
      <c r="H955" s="15" t="s">
        <v>1</v>
      </c>
      <c r="I955" s="15" t="s">
        <v>1</v>
      </c>
      <c r="J955" s="15" t="s">
        <v>1</v>
      </c>
      <c r="K955" s="15"/>
      <c r="L955" s="15" t="s">
        <v>1</v>
      </c>
      <c r="M955" s="15" t="s">
        <v>1</v>
      </c>
      <c r="O955" s="109"/>
    </row>
    <row r="956" spans="1:15" s="5" customFormat="1" ht="12">
      <c r="A956" s="73" t="s">
        <v>2</v>
      </c>
      <c r="E956" s="73" t="s">
        <v>2</v>
      </c>
      <c r="F956" s="1"/>
      <c r="G956" s="123"/>
      <c r="H956" s="123" t="str">
        <f>$H$86</f>
        <v>2005-06</v>
      </c>
      <c r="I956" s="123"/>
      <c r="J956" s="123" t="str">
        <f>$J$86</f>
        <v>2006-07</v>
      </c>
      <c r="K956" s="123"/>
      <c r="L956" s="123"/>
      <c r="M956" s="123" t="str">
        <f>$M$86</f>
        <v>2007-08</v>
      </c>
      <c r="O956" s="109"/>
    </row>
    <row r="957" spans="1:15" s="5" customFormat="1" ht="12">
      <c r="A957" s="73" t="s">
        <v>4</v>
      </c>
      <c r="C957" s="74" t="s">
        <v>20</v>
      </c>
      <c r="E957" s="73" t="s">
        <v>4</v>
      </c>
      <c r="F957" s="1"/>
      <c r="G957" s="178" t="s">
        <v>21</v>
      </c>
      <c r="H957" s="123" t="s">
        <v>7</v>
      </c>
      <c r="I957" s="178" t="s">
        <v>21</v>
      </c>
      <c r="J957" s="123" t="s">
        <v>7</v>
      </c>
      <c r="K957" s="123"/>
      <c r="L957" s="178" t="s">
        <v>21</v>
      </c>
      <c r="M957" s="123" t="s">
        <v>8</v>
      </c>
      <c r="O957" s="109"/>
    </row>
    <row r="958" spans="1:15" s="5" customFormat="1" ht="12">
      <c r="A958" s="15" t="s">
        <v>1</v>
      </c>
      <c r="B958" s="15" t="s">
        <v>1</v>
      </c>
      <c r="C958" s="15" t="s">
        <v>1</v>
      </c>
      <c r="D958" s="15" t="s">
        <v>1</v>
      </c>
      <c r="E958" s="15" t="s">
        <v>1</v>
      </c>
      <c r="F958" s="15" t="s">
        <v>1</v>
      </c>
      <c r="G958" s="15" t="s">
        <v>1</v>
      </c>
      <c r="H958" s="15" t="s">
        <v>1</v>
      </c>
      <c r="I958" s="15" t="s">
        <v>1</v>
      </c>
      <c r="J958" s="176" t="s">
        <v>1</v>
      </c>
      <c r="K958" s="176"/>
      <c r="L958" s="15" t="s">
        <v>1</v>
      </c>
      <c r="M958" s="176" t="s">
        <v>1</v>
      </c>
      <c r="O958" s="109"/>
    </row>
    <row r="959" spans="1:15" s="5" customFormat="1" ht="12">
      <c r="A959" s="30">
        <v>1</v>
      </c>
      <c r="C959" s="5" t="s">
        <v>58</v>
      </c>
      <c r="E959" s="30">
        <v>1</v>
      </c>
      <c r="F959" s="27"/>
      <c r="G959" s="180"/>
      <c r="H959" s="179">
        <v>14895754</v>
      </c>
      <c r="I959" s="180"/>
      <c r="J959" s="179">
        <v>15494552</v>
      </c>
      <c r="K959" s="179"/>
      <c r="L959" s="180"/>
      <c r="M959" s="179">
        <f>1817028+1107+8231+239+125+6240+1258+136520+14582433+605000</f>
        <v>17158181</v>
      </c>
      <c r="O959" s="109"/>
    </row>
    <row r="960" spans="1:15" s="5" customFormat="1" ht="12">
      <c r="A960" s="30">
        <v>2</v>
      </c>
      <c r="E960" s="30">
        <v>2</v>
      </c>
      <c r="F960" s="27"/>
      <c r="G960" s="180"/>
      <c r="H960" s="179"/>
      <c r="I960" s="180"/>
      <c r="J960" s="179"/>
      <c r="K960" s="179"/>
      <c r="L960" s="180"/>
      <c r="M960" s="179"/>
      <c r="O960" s="109"/>
    </row>
    <row r="961" spans="1:15" s="5" customFormat="1" ht="12">
      <c r="A961" s="30">
        <v>3</v>
      </c>
      <c r="C961" s="27"/>
      <c r="E961" s="30">
        <v>3</v>
      </c>
      <c r="F961" s="27"/>
      <c r="G961" s="180"/>
      <c r="H961" s="179"/>
      <c r="I961" s="180"/>
      <c r="J961" s="179"/>
      <c r="K961" s="179"/>
      <c r="L961" s="180"/>
      <c r="M961" s="179"/>
      <c r="O961" s="109"/>
    </row>
    <row r="962" spans="1:15" s="5" customFormat="1" ht="12">
      <c r="A962" s="30">
        <v>4</v>
      </c>
      <c r="C962" s="27"/>
      <c r="E962" s="30">
        <v>4</v>
      </c>
      <c r="F962" s="27"/>
      <c r="G962" s="180"/>
      <c r="H962" s="179"/>
      <c r="I962" s="180"/>
      <c r="J962" s="179"/>
      <c r="K962" s="179"/>
      <c r="L962" s="180"/>
      <c r="M962" s="179"/>
      <c r="O962" s="109"/>
    </row>
    <row r="963" spans="1:15" s="5" customFormat="1" ht="12">
      <c r="A963" s="30">
        <v>5</v>
      </c>
      <c r="C963" s="4"/>
      <c r="E963" s="30">
        <v>5</v>
      </c>
      <c r="F963" s="27"/>
      <c r="G963" s="180"/>
      <c r="H963" s="179"/>
      <c r="I963" s="180"/>
      <c r="J963" s="179"/>
      <c r="K963" s="179"/>
      <c r="L963" s="180"/>
      <c r="M963" s="179"/>
      <c r="O963" s="109"/>
    </row>
    <row r="964" spans="1:15" s="5" customFormat="1" ht="12">
      <c r="A964" s="30">
        <v>6</v>
      </c>
      <c r="C964" s="27"/>
      <c r="E964" s="30">
        <v>6</v>
      </c>
      <c r="F964" s="27"/>
      <c r="G964" s="180"/>
      <c r="H964" s="179"/>
      <c r="I964" s="180"/>
      <c r="J964" s="179"/>
      <c r="K964" s="179"/>
      <c r="L964" s="180"/>
      <c r="M964" s="179"/>
      <c r="O964" s="109"/>
    </row>
    <row r="965" spans="1:15" s="5" customFormat="1" ht="12">
      <c r="A965" s="30">
        <v>7</v>
      </c>
      <c r="C965" s="27"/>
      <c r="E965" s="30">
        <v>7</v>
      </c>
      <c r="F965" s="27"/>
      <c r="G965" s="180"/>
      <c r="H965" s="179"/>
      <c r="I965" s="180"/>
      <c r="J965" s="179"/>
      <c r="K965" s="179"/>
      <c r="L965" s="180"/>
      <c r="M965" s="179"/>
      <c r="O965" s="109"/>
    </row>
    <row r="966" spans="1:15" s="5" customFormat="1" ht="12">
      <c r="A966" s="30">
        <v>8</v>
      </c>
      <c r="E966" s="30">
        <v>8</v>
      </c>
      <c r="F966" s="27"/>
      <c r="G966" s="180"/>
      <c r="H966" s="179"/>
      <c r="I966" s="180"/>
      <c r="J966" s="179"/>
      <c r="K966" s="179"/>
      <c r="L966" s="180"/>
      <c r="M966" s="179"/>
      <c r="O966" s="109"/>
    </row>
    <row r="967" spans="1:15" s="5" customFormat="1" ht="12">
      <c r="A967" s="30">
        <v>9</v>
      </c>
      <c r="E967" s="30">
        <v>9</v>
      </c>
      <c r="F967" s="27"/>
      <c r="G967" s="180"/>
      <c r="H967" s="179"/>
      <c r="I967" s="180"/>
      <c r="J967" s="179"/>
      <c r="K967" s="179"/>
      <c r="L967" s="180"/>
      <c r="M967" s="179"/>
      <c r="O967" s="109"/>
    </row>
    <row r="968" spans="1:15" s="5" customFormat="1" ht="12">
      <c r="A968" s="37"/>
      <c r="E968" s="37"/>
      <c r="F968" s="24" t="s">
        <v>1</v>
      </c>
      <c r="G968" s="24" t="s">
        <v>1</v>
      </c>
      <c r="H968" s="24"/>
      <c r="I968" s="24" t="s">
        <v>1</v>
      </c>
      <c r="J968" s="24" t="s">
        <v>1</v>
      </c>
      <c r="K968" s="24"/>
      <c r="L968" s="24" t="s">
        <v>1</v>
      </c>
      <c r="M968" s="24" t="s">
        <v>1</v>
      </c>
      <c r="O968" s="109"/>
    </row>
    <row r="969" spans="1:15" s="5" customFormat="1" ht="12">
      <c r="A969" s="30">
        <v>10</v>
      </c>
      <c r="C969" s="5" t="s">
        <v>98</v>
      </c>
      <c r="E969" s="30">
        <v>10</v>
      </c>
      <c r="G969" s="89"/>
      <c r="H969" s="86">
        <f>SUM(H959:H965)</f>
        <v>14895754</v>
      </c>
      <c r="I969" s="89"/>
      <c r="J969" s="179">
        <f>SUM(J959:J965)</f>
        <v>15494552</v>
      </c>
      <c r="K969" s="179"/>
      <c r="L969" s="89"/>
      <c r="M969" s="179">
        <f>SUM(M959:M965)</f>
        <v>17158181</v>
      </c>
      <c r="O969" s="109"/>
    </row>
    <row r="970" spans="1:15" s="5" customFormat="1" ht="12">
      <c r="A970" s="30"/>
      <c r="E970" s="30"/>
      <c r="F970" s="24" t="s">
        <v>1</v>
      </c>
      <c r="G970" s="24" t="s">
        <v>1</v>
      </c>
      <c r="H970" s="24"/>
      <c r="I970" s="24" t="s">
        <v>1</v>
      </c>
      <c r="J970" s="24" t="s">
        <v>1</v>
      </c>
      <c r="K970" s="24"/>
      <c r="L970" s="24" t="s">
        <v>1</v>
      </c>
      <c r="M970" s="24" t="s">
        <v>1</v>
      </c>
      <c r="O970" s="109"/>
    </row>
    <row r="971" spans="1:16" s="5" customFormat="1" ht="12">
      <c r="A971" s="30">
        <v>11</v>
      </c>
      <c r="C971" s="4" t="s">
        <v>458</v>
      </c>
      <c r="E971" s="30">
        <v>11</v>
      </c>
      <c r="F971" s="27"/>
      <c r="G971" s="180"/>
      <c r="H971" s="179">
        <f>9844092-4262691</f>
        <v>5581401</v>
      </c>
      <c r="I971" s="180"/>
      <c r="J971" s="179">
        <f>13089801-485742-79</f>
        <v>12603980</v>
      </c>
      <c r="K971" s="179"/>
      <c r="L971" s="180"/>
      <c r="M971" s="179">
        <f>-1149612+17530+124575+575000+3023581+862300+2802+34982+266667-6685253+6672610+2000000+1500000+2000000+1000000+200000</f>
        <v>10445182</v>
      </c>
      <c r="O971" s="109"/>
      <c r="P971" s="113"/>
    </row>
    <row r="972" spans="1:15" s="5" customFormat="1" ht="12">
      <c r="A972" s="30">
        <v>12</v>
      </c>
      <c r="C972" s="5" t="s">
        <v>538</v>
      </c>
      <c r="E972" s="30">
        <v>12</v>
      </c>
      <c r="F972" s="27"/>
      <c r="G972" s="180"/>
      <c r="H972" s="179">
        <f>148161+881471+636642+161722+1590065+137+926</f>
        <v>3419124</v>
      </c>
      <c r="I972" s="180"/>
      <c r="J972" s="179">
        <v>3101476</v>
      </c>
      <c r="K972" s="179"/>
      <c r="L972" s="180"/>
      <c r="M972" s="179">
        <f>446374+1818408+1378864+34553</f>
        <v>3678199</v>
      </c>
      <c r="O972" s="109"/>
    </row>
    <row r="973" spans="1:15" s="5" customFormat="1" ht="12">
      <c r="A973" s="30">
        <v>13</v>
      </c>
      <c r="C973" s="27"/>
      <c r="E973" s="30">
        <v>13</v>
      </c>
      <c r="F973" s="27"/>
      <c r="G973" s="180"/>
      <c r="H973" s="179"/>
      <c r="I973" s="180"/>
      <c r="J973" s="179"/>
      <c r="K973" s="179"/>
      <c r="L973" s="180"/>
      <c r="M973" s="179"/>
      <c r="O973" s="109"/>
    </row>
    <row r="974" spans="1:15" s="5" customFormat="1" ht="12">
      <c r="A974" s="30">
        <v>14</v>
      </c>
      <c r="E974" s="30">
        <v>14</v>
      </c>
      <c r="F974" s="27"/>
      <c r="G974" s="180"/>
      <c r="H974" s="179"/>
      <c r="I974" s="180"/>
      <c r="J974" s="179"/>
      <c r="K974" s="179"/>
      <c r="L974" s="180"/>
      <c r="M974" s="179"/>
      <c r="O974" s="109"/>
    </row>
    <row r="975" spans="1:15" s="5" customFormat="1" ht="12">
      <c r="A975" s="30">
        <v>15</v>
      </c>
      <c r="C975" s="4"/>
      <c r="E975" s="30">
        <v>15</v>
      </c>
      <c r="F975" s="27"/>
      <c r="G975" s="180"/>
      <c r="H975" s="179"/>
      <c r="I975" s="180"/>
      <c r="J975" s="179"/>
      <c r="K975" s="179"/>
      <c r="L975" s="180"/>
      <c r="M975" s="179"/>
      <c r="O975" s="109"/>
    </row>
    <row r="976" spans="1:15" s="5" customFormat="1" ht="12">
      <c r="A976" s="30">
        <v>16</v>
      </c>
      <c r="C976" s="27"/>
      <c r="E976" s="30">
        <v>16</v>
      </c>
      <c r="F976" s="27"/>
      <c r="G976" s="180"/>
      <c r="H976" s="179"/>
      <c r="I976" s="180"/>
      <c r="J976" s="179"/>
      <c r="K976" s="179"/>
      <c r="L976" s="180"/>
      <c r="M976" s="179"/>
      <c r="O976" s="109"/>
    </row>
    <row r="977" spans="1:15" s="5" customFormat="1" ht="12">
      <c r="A977" s="30">
        <v>17</v>
      </c>
      <c r="C977" s="27"/>
      <c r="D977" s="36"/>
      <c r="E977" s="30">
        <v>17</v>
      </c>
      <c r="F977" s="27"/>
      <c r="G977" s="180"/>
      <c r="H977" s="179"/>
      <c r="I977" s="180"/>
      <c r="J977" s="179"/>
      <c r="K977" s="179"/>
      <c r="L977" s="180"/>
      <c r="M977" s="179"/>
      <c r="O977" s="109"/>
    </row>
    <row r="978" spans="1:15" s="5" customFormat="1" ht="12">
      <c r="A978" s="30">
        <v>18</v>
      </c>
      <c r="D978" s="36"/>
      <c r="E978" s="30">
        <v>18</v>
      </c>
      <c r="F978" s="27"/>
      <c r="G978" s="180"/>
      <c r="H978" s="179"/>
      <c r="I978" s="180"/>
      <c r="J978" s="179"/>
      <c r="K978" s="179"/>
      <c r="L978" s="180"/>
      <c r="M978" s="179"/>
      <c r="O978" s="109"/>
    </row>
    <row r="979" spans="1:15" s="5" customFormat="1" ht="12">
      <c r="A979" s="30"/>
      <c r="D979" s="36"/>
      <c r="E979" s="30"/>
      <c r="F979" s="24" t="s">
        <v>1</v>
      </c>
      <c r="G979" s="24" t="s">
        <v>1</v>
      </c>
      <c r="H979" s="24"/>
      <c r="I979" s="24" t="s">
        <v>1</v>
      </c>
      <c r="J979" s="24" t="s">
        <v>1</v>
      </c>
      <c r="K979" s="24"/>
      <c r="L979" s="24" t="s">
        <v>1</v>
      </c>
      <c r="M979" s="24" t="s">
        <v>1</v>
      </c>
      <c r="O979" s="109"/>
    </row>
    <row r="980" spans="1:15" s="5" customFormat="1" ht="12">
      <c r="A980" s="30">
        <v>19</v>
      </c>
      <c r="C980" s="5" t="s">
        <v>460</v>
      </c>
      <c r="D980" s="36"/>
      <c r="E980" s="30">
        <v>19</v>
      </c>
      <c r="H980" s="86">
        <f>SUM(H971:H978)</f>
        <v>9000525</v>
      </c>
      <c r="I980" s="180"/>
      <c r="J980" s="192">
        <f>SUM(J971:J978)</f>
        <v>15705456</v>
      </c>
      <c r="K980" s="192"/>
      <c r="L980" s="180"/>
      <c r="M980" s="192">
        <f>SUM(M971:M978)</f>
        <v>14123381</v>
      </c>
      <c r="O980" s="109"/>
    </row>
    <row r="981" spans="1:15" s="5" customFormat="1" ht="12">
      <c r="A981" s="30"/>
      <c r="C981" s="50"/>
      <c r="D981" s="36"/>
      <c r="E981" s="30"/>
      <c r="F981" s="24" t="s">
        <v>1</v>
      </c>
      <c r="G981" s="24" t="s">
        <v>1</v>
      </c>
      <c r="H981" s="24"/>
      <c r="I981" s="24" t="s">
        <v>1</v>
      </c>
      <c r="J981" s="24" t="s">
        <v>1</v>
      </c>
      <c r="K981" s="24"/>
      <c r="L981" s="24" t="s">
        <v>1</v>
      </c>
      <c r="M981" s="24" t="s">
        <v>1</v>
      </c>
      <c r="O981" s="109"/>
    </row>
    <row r="982" spans="1:15" s="5" customFormat="1" ht="12">
      <c r="A982" s="30"/>
      <c r="C982" s="36"/>
      <c r="D982" s="36"/>
      <c r="E982" s="30"/>
      <c r="H982" s="179"/>
      <c r="O982" s="109"/>
    </row>
    <row r="983" spans="1:15" s="5" customFormat="1" ht="19.5" customHeight="1">
      <c r="A983" s="30">
        <v>20</v>
      </c>
      <c r="C983" s="4" t="s">
        <v>275</v>
      </c>
      <c r="E983" s="30">
        <v>20</v>
      </c>
      <c r="G983" s="89"/>
      <c r="H983" s="86">
        <f>SUM(H969,H980)</f>
        <v>23896279</v>
      </c>
      <c r="I983" s="89"/>
      <c r="J983" s="86">
        <f>SUM(J969,J980)</f>
        <v>31200008</v>
      </c>
      <c r="K983" s="86"/>
      <c r="L983" s="89"/>
      <c r="M983" s="86">
        <f>SUM(M969,M980)</f>
        <v>31281562</v>
      </c>
      <c r="O983" s="109"/>
    </row>
    <row r="984" spans="3:15" s="5" customFormat="1" ht="18" customHeight="1">
      <c r="C984" s="75" t="s">
        <v>99</v>
      </c>
      <c r="E984" s="38"/>
      <c r="F984" s="24" t="s">
        <v>1</v>
      </c>
      <c r="G984" s="24" t="s">
        <v>1</v>
      </c>
      <c r="H984" s="24"/>
      <c r="I984" s="24" t="s">
        <v>1</v>
      </c>
      <c r="J984" s="24" t="s">
        <v>1</v>
      </c>
      <c r="K984" s="24"/>
      <c r="L984" s="24" t="s">
        <v>1</v>
      </c>
      <c r="M984" s="24" t="s">
        <v>1</v>
      </c>
      <c r="O984" s="109"/>
    </row>
    <row r="985" spans="3:15" s="5" customFormat="1" ht="18" customHeight="1">
      <c r="C985" s="75"/>
      <c r="E985" s="38"/>
      <c r="F985" s="24"/>
      <c r="G985" s="24"/>
      <c r="H985" s="24"/>
      <c r="I985" s="24"/>
      <c r="J985" s="24"/>
      <c r="K985" s="24"/>
      <c r="L985" s="24"/>
      <c r="M985" s="24"/>
      <c r="O985" s="109"/>
    </row>
    <row r="986" spans="1:15" s="5" customFormat="1" ht="12">
      <c r="A986" s="68" t="str">
        <f>+A82</f>
        <v>Institution No.:  GFE </v>
      </c>
      <c r="D986" s="1"/>
      <c r="F986" s="38"/>
      <c r="G986" s="71"/>
      <c r="H986" s="86"/>
      <c r="J986" s="224"/>
      <c r="K986" s="224"/>
      <c r="M986" s="189" t="s">
        <v>110</v>
      </c>
      <c r="O986" s="109"/>
    </row>
    <row r="987" spans="4:15" s="5" customFormat="1" ht="12">
      <c r="D987" s="430" t="s">
        <v>539</v>
      </c>
      <c r="E987" s="430"/>
      <c r="F987" s="430"/>
      <c r="M987" s="47"/>
      <c r="O987" s="109"/>
    </row>
    <row r="988" spans="1:15" s="5" customFormat="1" ht="12">
      <c r="A988" s="68" t="str">
        <f>+A84</f>
        <v>NAME:  University of Colorado - HSC</v>
      </c>
      <c r="D988" s="256" t="s">
        <v>540</v>
      </c>
      <c r="E988" s="246"/>
      <c r="F988" s="246"/>
      <c r="G988" s="243"/>
      <c r="H988" s="243"/>
      <c r="J988" s="190"/>
      <c r="K988" s="190"/>
      <c r="M988" s="228" t="str">
        <f>+M84</f>
        <v>Date:  10-07</v>
      </c>
      <c r="O988" s="109"/>
    </row>
    <row r="989" spans="1:15" s="5" customFormat="1" ht="12">
      <c r="A989" s="15" t="s">
        <v>1</v>
      </c>
      <c r="B989" s="15" t="s">
        <v>1</v>
      </c>
      <c r="C989" s="15" t="s">
        <v>1</v>
      </c>
      <c r="D989" s="15" t="s">
        <v>1</v>
      </c>
      <c r="E989" s="15" t="s">
        <v>1</v>
      </c>
      <c r="F989" s="15" t="s">
        <v>1</v>
      </c>
      <c r="G989" s="15" t="s">
        <v>1</v>
      </c>
      <c r="H989" s="15" t="s">
        <v>1</v>
      </c>
      <c r="I989" s="15" t="s">
        <v>1</v>
      </c>
      <c r="J989" s="15" t="s">
        <v>1</v>
      </c>
      <c r="K989" s="15"/>
      <c r="L989" s="15" t="s">
        <v>1</v>
      </c>
      <c r="M989" s="15" t="s">
        <v>1</v>
      </c>
      <c r="O989" s="109"/>
    </row>
    <row r="990" spans="1:15" s="5" customFormat="1" ht="12">
      <c r="A990" s="73" t="s">
        <v>2</v>
      </c>
      <c r="D990" s="1"/>
      <c r="E990" s="73" t="s">
        <v>2</v>
      </c>
      <c r="F990" s="1"/>
      <c r="G990" s="432" t="s">
        <v>247</v>
      </c>
      <c r="H990" s="432"/>
      <c r="I990" s="432" t="s">
        <v>281</v>
      </c>
      <c r="J990" s="432"/>
      <c r="K990" s="174"/>
      <c r="L990" s="432" t="s">
        <v>290</v>
      </c>
      <c r="M990" s="432"/>
      <c r="O990" s="109"/>
    </row>
    <row r="991" spans="1:15" s="5" customFormat="1" ht="12">
      <c r="A991" s="73" t="s">
        <v>4</v>
      </c>
      <c r="C991" s="4" t="s">
        <v>111</v>
      </c>
      <c r="D991" s="1" t="s">
        <v>112</v>
      </c>
      <c r="E991" s="73" t="s">
        <v>4</v>
      </c>
      <c r="F991" s="1"/>
      <c r="G991" s="123" t="s">
        <v>103</v>
      </c>
      <c r="H991" s="123" t="s">
        <v>104</v>
      </c>
      <c r="I991" s="123" t="s">
        <v>103</v>
      </c>
      <c r="J991" s="123" t="s">
        <v>104</v>
      </c>
      <c r="K991" s="123"/>
      <c r="L991" s="123" t="s">
        <v>103</v>
      </c>
      <c r="M991" s="123" t="s">
        <v>104</v>
      </c>
      <c r="O991" s="109"/>
    </row>
    <row r="992" spans="3:15" s="5" customFormat="1" ht="12">
      <c r="C992" s="5" t="s">
        <v>113</v>
      </c>
      <c r="D992" s="1" t="s">
        <v>114</v>
      </c>
      <c r="E992" s="1"/>
      <c r="F992" s="1"/>
      <c r="G992" s="178" t="s">
        <v>105</v>
      </c>
      <c r="H992" s="123" t="s">
        <v>106</v>
      </c>
      <c r="I992" s="178" t="s">
        <v>105</v>
      </c>
      <c r="J992" s="123" t="s">
        <v>106</v>
      </c>
      <c r="K992" s="123"/>
      <c r="L992" s="178" t="s">
        <v>105</v>
      </c>
      <c r="M992" s="123" t="s">
        <v>106</v>
      </c>
      <c r="O992" s="109"/>
    </row>
    <row r="993" spans="1:15" s="5" customFormat="1" ht="12">
      <c r="A993" s="15" t="s">
        <v>1</v>
      </c>
      <c r="B993" s="15" t="s">
        <v>1</v>
      </c>
      <c r="C993" s="15" t="s">
        <v>1</v>
      </c>
      <c r="D993" s="15" t="s">
        <v>1</v>
      </c>
      <c r="E993" s="15" t="s">
        <v>1</v>
      </c>
      <c r="G993" s="15" t="s">
        <v>1</v>
      </c>
      <c r="H993" s="15" t="s">
        <v>1</v>
      </c>
      <c r="I993" s="15" t="s">
        <v>1</v>
      </c>
      <c r="J993" s="176" t="s">
        <v>1</v>
      </c>
      <c r="K993" s="176"/>
      <c r="L993" s="15" t="s">
        <v>1</v>
      </c>
      <c r="M993" s="176" t="s">
        <v>1</v>
      </c>
      <c r="O993" s="109"/>
    </row>
    <row r="994" spans="1:15" s="5" customFormat="1" ht="12">
      <c r="A994" s="15"/>
      <c r="B994" s="15"/>
      <c r="C994" s="124" t="s">
        <v>107</v>
      </c>
      <c r="D994" s="74"/>
      <c r="E994" s="15"/>
      <c r="G994" s="24"/>
      <c r="H994" s="24"/>
      <c r="I994" s="24"/>
      <c r="J994" s="24"/>
      <c r="K994" s="24"/>
      <c r="L994" s="24"/>
      <c r="M994" s="24"/>
      <c r="O994" s="109"/>
    </row>
    <row r="995" spans="1:15" s="5" customFormat="1" ht="12">
      <c r="A995" s="41">
        <v>1</v>
      </c>
      <c r="C995" s="5" t="s">
        <v>541</v>
      </c>
      <c r="D995" s="125" t="s">
        <v>542</v>
      </c>
      <c r="E995" s="38">
        <v>1</v>
      </c>
      <c r="F995" s="126"/>
      <c r="G995" s="126"/>
      <c r="H995" s="126"/>
      <c r="O995" s="109"/>
    </row>
    <row r="996" spans="1:15" s="5" customFormat="1" ht="12">
      <c r="A996" s="41">
        <f aca="true" t="shared" si="17" ref="A996:A1027">(A995+1)</f>
        <v>2</v>
      </c>
      <c r="C996" s="5" t="s">
        <v>543</v>
      </c>
      <c r="D996" s="125" t="s">
        <v>544</v>
      </c>
      <c r="E996" s="38">
        <v>2</v>
      </c>
      <c r="F996" s="126"/>
      <c r="O996" s="109"/>
    </row>
    <row r="997" spans="1:15" s="5" customFormat="1" ht="12">
      <c r="A997" s="41">
        <f>(A996+1)</f>
        <v>3</v>
      </c>
      <c r="C997" s="5" t="s">
        <v>547</v>
      </c>
      <c r="E997" s="38">
        <f>(E996+1)</f>
        <v>3</v>
      </c>
      <c r="F997" s="126"/>
      <c r="G997" s="126"/>
      <c r="H997" s="126"/>
      <c r="O997" s="109"/>
    </row>
    <row r="998" spans="1:15" s="5" customFormat="1" ht="12">
      <c r="A998" s="41">
        <f t="shared" si="17"/>
        <v>4</v>
      </c>
      <c r="C998" s="5" t="s">
        <v>548</v>
      </c>
      <c r="D998" s="127" t="s">
        <v>549</v>
      </c>
      <c r="E998" s="38">
        <f aca="true" t="shared" si="18" ref="E998:E1011">(E997+1)</f>
        <v>4</v>
      </c>
      <c r="F998" s="126"/>
      <c r="G998" s="126"/>
      <c r="H998" s="126"/>
      <c r="O998" s="109"/>
    </row>
    <row r="999" spans="1:15" s="5" customFormat="1" ht="12">
      <c r="A999" s="41">
        <f t="shared" si="17"/>
        <v>5</v>
      </c>
      <c r="D999" s="127"/>
      <c r="E999" s="38">
        <f t="shared" si="18"/>
        <v>5</v>
      </c>
      <c r="F999" s="126"/>
      <c r="G999" s="126"/>
      <c r="H999" s="126"/>
      <c r="O999" s="109"/>
    </row>
    <row r="1000" spans="1:15" s="5" customFormat="1" ht="12">
      <c r="A1000" s="41">
        <f t="shared" si="17"/>
        <v>6</v>
      </c>
      <c r="C1000" s="5" t="s">
        <v>550</v>
      </c>
      <c r="D1000" s="127" t="s">
        <v>542</v>
      </c>
      <c r="E1000" s="38">
        <f t="shared" si="18"/>
        <v>6</v>
      </c>
      <c r="F1000" s="126"/>
      <c r="G1000" s="126"/>
      <c r="H1000" s="126"/>
      <c r="O1000" s="109"/>
    </row>
    <row r="1001" spans="1:15" s="5" customFormat="1" ht="12">
      <c r="A1001" s="41">
        <f t="shared" si="17"/>
        <v>7</v>
      </c>
      <c r="C1001" s="5" t="s">
        <v>551</v>
      </c>
      <c r="D1001" s="125"/>
      <c r="E1001" s="38">
        <f t="shared" si="18"/>
        <v>7</v>
      </c>
      <c r="F1001" s="126"/>
      <c r="G1001" s="126"/>
      <c r="H1001" s="126"/>
      <c r="O1001" s="109"/>
    </row>
    <row r="1002" spans="1:15" s="5" customFormat="1" ht="12">
      <c r="A1002" s="41">
        <f t="shared" si="17"/>
        <v>8</v>
      </c>
      <c r="C1002" s="5" t="s">
        <v>552</v>
      </c>
      <c r="D1002" s="128"/>
      <c r="E1002" s="38">
        <f t="shared" si="18"/>
        <v>8</v>
      </c>
      <c r="F1002" s="126"/>
      <c r="G1002" s="126"/>
      <c r="H1002" s="126"/>
      <c r="O1002" s="109"/>
    </row>
    <row r="1003" spans="1:15" s="5" customFormat="1" ht="12">
      <c r="A1003" s="41">
        <f t="shared" si="17"/>
        <v>9</v>
      </c>
      <c r="C1003" s="5" t="s">
        <v>553</v>
      </c>
      <c r="D1003" s="127" t="s">
        <v>544</v>
      </c>
      <c r="E1003" s="38">
        <f t="shared" si="18"/>
        <v>9</v>
      </c>
      <c r="F1003" s="126"/>
      <c r="O1003" s="109"/>
    </row>
    <row r="1004" spans="1:15" s="5" customFormat="1" ht="12">
      <c r="A1004" s="41">
        <f t="shared" si="17"/>
        <v>10</v>
      </c>
      <c r="D1004" s="125" t="s">
        <v>545</v>
      </c>
      <c r="E1004" s="38">
        <f t="shared" si="18"/>
        <v>10</v>
      </c>
      <c r="F1004" s="126"/>
      <c r="G1004" s="126"/>
      <c r="H1004" s="126"/>
      <c r="O1004" s="109"/>
    </row>
    <row r="1005" spans="1:15" s="5" customFormat="1" ht="12">
      <c r="A1005" s="41">
        <f t="shared" si="17"/>
        <v>11</v>
      </c>
      <c r="D1005" s="125" t="s">
        <v>549</v>
      </c>
      <c r="E1005" s="38">
        <f t="shared" si="18"/>
        <v>11</v>
      </c>
      <c r="F1005" s="126"/>
      <c r="G1005" s="126"/>
      <c r="H1005" s="126"/>
      <c r="O1005" s="109"/>
    </row>
    <row r="1006" spans="1:15" s="5" customFormat="1" ht="12">
      <c r="A1006" s="41">
        <f t="shared" si="17"/>
        <v>12</v>
      </c>
      <c r="C1006" s="5" t="s">
        <v>554</v>
      </c>
      <c r="D1006" s="125"/>
      <c r="E1006" s="38">
        <f t="shared" si="18"/>
        <v>12</v>
      </c>
      <c r="F1006" s="126"/>
      <c r="G1006" s="126"/>
      <c r="H1006" s="126"/>
      <c r="O1006" s="109"/>
    </row>
    <row r="1007" spans="1:15" s="5" customFormat="1" ht="12">
      <c r="A1007" s="41">
        <f t="shared" si="17"/>
        <v>13</v>
      </c>
      <c r="C1007" s="4" t="s">
        <v>555</v>
      </c>
      <c r="D1007" s="128" t="s">
        <v>549</v>
      </c>
      <c r="E1007" s="38">
        <f t="shared" si="18"/>
        <v>13</v>
      </c>
      <c r="F1007" s="126"/>
      <c r="G1007" s="126"/>
      <c r="H1007" s="126"/>
      <c r="O1007" s="109"/>
    </row>
    <row r="1008" spans="1:15" s="5" customFormat="1" ht="13.5" customHeight="1">
      <c r="A1008" s="41">
        <v>17</v>
      </c>
      <c r="C1008" s="5" t="s">
        <v>556</v>
      </c>
      <c r="D1008" s="125" t="s">
        <v>542</v>
      </c>
      <c r="E1008" s="38">
        <v>17</v>
      </c>
      <c r="F1008" s="126"/>
      <c r="G1008" s="126"/>
      <c r="H1008" s="126"/>
      <c r="O1008" s="109"/>
    </row>
    <row r="1009" spans="1:15" s="5" customFormat="1" ht="13.5" customHeight="1">
      <c r="A1009" s="41">
        <f t="shared" si="17"/>
        <v>18</v>
      </c>
      <c r="D1009" s="125" t="s">
        <v>544</v>
      </c>
      <c r="E1009" s="38">
        <f t="shared" si="18"/>
        <v>18</v>
      </c>
      <c r="F1009" s="126"/>
      <c r="G1009" s="126"/>
      <c r="H1009" s="126"/>
      <c r="O1009" s="109"/>
    </row>
    <row r="1010" spans="1:15" s="5" customFormat="1" ht="13.5" customHeight="1">
      <c r="A1010" s="41">
        <f t="shared" si="17"/>
        <v>19</v>
      </c>
      <c r="D1010" s="125" t="s">
        <v>545</v>
      </c>
      <c r="E1010" s="38">
        <f t="shared" si="18"/>
        <v>19</v>
      </c>
      <c r="F1010" s="126"/>
      <c r="G1010" s="126"/>
      <c r="H1010" s="126"/>
      <c r="O1010" s="109"/>
    </row>
    <row r="1011" spans="1:15" s="5" customFormat="1" ht="13.5" customHeight="1">
      <c r="A1011" s="41">
        <f t="shared" si="17"/>
        <v>20</v>
      </c>
      <c r="D1011" s="128" t="s">
        <v>557</v>
      </c>
      <c r="E1011" s="38">
        <f t="shared" si="18"/>
        <v>20</v>
      </c>
      <c r="F1011" s="126"/>
      <c r="G1011" s="126"/>
      <c r="H1011" s="126"/>
      <c r="O1011" s="109"/>
    </row>
    <row r="1012" spans="1:15" s="5" customFormat="1" ht="12">
      <c r="A1012" s="41">
        <v>21</v>
      </c>
      <c r="C1012" s="5" t="s">
        <v>558</v>
      </c>
      <c r="D1012" s="128" t="s">
        <v>559</v>
      </c>
      <c r="E1012" s="38">
        <v>21</v>
      </c>
      <c r="F1012" s="126"/>
      <c r="G1012" s="126"/>
      <c r="H1012" s="126"/>
      <c r="O1012" s="109"/>
    </row>
    <row r="1013" spans="1:15" s="5" customFormat="1" ht="12">
      <c r="A1013" s="41">
        <v>22</v>
      </c>
      <c r="C1013" s="5" t="s">
        <v>560</v>
      </c>
      <c r="D1013" s="128" t="s">
        <v>542</v>
      </c>
      <c r="E1013" s="257">
        <v>22</v>
      </c>
      <c r="F1013" s="126"/>
      <c r="G1013" s="126"/>
      <c r="H1013" s="126"/>
      <c r="O1013" s="109"/>
    </row>
    <row r="1014" spans="1:15" s="5" customFormat="1" ht="12" customHeight="1">
      <c r="A1014" s="41">
        <f t="shared" si="17"/>
        <v>23</v>
      </c>
      <c r="C1014" s="27"/>
      <c r="D1014" s="127"/>
      <c r="E1014" s="38">
        <f aca="true" t="shared" si="19" ref="E1014:E1027">(E1013+1)</f>
        <v>23</v>
      </c>
      <c r="F1014" s="129"/>
      <c r="G1014" s="129"/>
      <c r="H1014" s="129"/>
      <c r="O1014" s="109"/>
    </row>
    <row r="1015" spans="1:15" s="5" customFormat="1" ht="12.75" customHeight="1">
      <c r="A1015" s="41">
        <f t="shared" si="17"/>
        <v>24</v>
      </c>
      <c r="C1015" s="27" t="s">
        <v>108</v>
      </c>
      <c r="D1015" s="127"/>
      <c r="E1015" s="38">
        <f t="shared" si="19"/>
        <v>24</v>
      </c>
      <c r="F1015" s="129"/>
      <c r="G1015" s="129"/>
      <c r="H1015" s="129"/>
      <c r="O1015" s="109"/>
    </row>
    <row r="1016" spans="1:15" s="5" customFormat="1" ht="12.75" customHeight="1">
      <c r="A1016" s="41">
        <f t="shared" si="17"/>
        <v>25</v>
      </c>
      <c r="C1016" s="5" t="s">
        <v>561</v>
      </c>
      <c r="D1016" s="127" t="s">
        <v>542</v>
      </c>
      <c r="E1016" s="38">
        <f t="shared" si="19"/>
        <v>25</v>
      </c>
      <c r="F1016" s="129"/>
      <c r="G1016" s="129"/>
      <c r="H1016" s="129"/>
      <c r="O1016" s="109"/>
    </row>
    <row r="1017" spans="1:15" s="5" customFormat="1" ht="12.75" customHeight="1">
      <c r="A1017" s="41">
        <f t="shared" si="17"/>
        <v>26</v>
      </c>
      <c r="D1017" s="127" t="s">
        <v>544</v>
      </c>
      <c r="E1017" s="38">
        <f t="shared" si="19"/>
        <v>26</v>
      </c>
      <c r="F1017" s="126"/>
      <c r="G1017" s="126"/>
      <c r="H1017" s="126"/>
      <c r="O1017" s="109"/>
    </row>
    <row r="1018" spans="1:15" s="5" customFormat="1" ht="12.75" customHeight="1">
      <c r="A1018" s="41">
        <f t="shared" si="17"/>
        <v>27</v>
      </c>
      <c r="C1018" s="5" t="s">
        <v>562</v>
      </c>
      <c r="D1018" s="127" t="s">
        <v>542</v>
      </c>
      <c r="E1018" s="38">
        <f t="shared" si="19"/>
        <v>27</v>
      </c>
      <c r="F1018" s="129"/>
      <c r="G1018" s="126"/>
      <c r="H1018" s="126"/>
      <c r="O1018" s="109"/>
    </row>
    <row r="1019" spans="1:15" s="5" customFormat="1" ht="12.75" customHeight="1">
      <c r="A1019" s="41">
        <f t="shared" si="17"/>
        <v>28</v>
      </c>
      <c r="D1019" s="127" t="s">
        <v>544</v>
      </c>
      <c r="E1019" s="38">
        <f t="shared" si="19"/>
        <v>28</v>
      </c>
      <c r="O1019" s="109"/>
    </row>
    <row r="1020" spans="1:15" s="5" customFormat="1" ht="12.75" customHeight="1">
      <c r="A1020" s="41">
        <f t="shared" si="17"/>
        <v>29</v>
      </c>
      <c r="C1020" s="27"/>
      <c r="D1020" s="127" t="s">
        <v>546</v>
      </c>
      <c r="E1020" s="38">
        <f t="shared" si="19"/>
        <v>29</v>
      </c>
      <c r="F1020" s="129"/>
      <c r="G1020" s="129"/>
      <c r="H1020" s="129"/>
      <c r="O1020" s="109"/>
    </row>
    <row r="1021" spans="1:15" s="5" customFormat="1" ht="12.75" customHeight="1">
      <c r="A1021" s="41">
        <f t="shared" si="17"/>
        <v>30</v>
      </c>
      <c r="C1021" s="27" t="s">
        <v>563</v>
      </c>
      <c r="D1021" s="127" t="s">
        <v>542</v>
      </c>
      <c r="E1021" s="38">
        <f t="shared" si="19"/>
        <v>30</v>
      </c>
      <c r="G1021" s="129"/>
      <c r="H1021" s="129"/>
      <c r="O1021" s="109"/>
    </row>
    <row r="1022" spans="1:15" s="5" customFormat="1" ht="12.75" customHeight="1">
      <c r="A1022" s="41">
        <f t="shared" si="17"/>
        <v>31</v>
      </c>
      <c r="D1022" s="127" t="s">
        <v>544</v>
      </c>
      <c r="E1022" s="38">
        <f t="shared" si="19"/>
        <v>31</v>
      </c>
      <c r="F1022" s="126"/>
      <c r="G1022" s="126"/>
      <c r="H1022" s="126"/>
      <c r="O1022" s="109"/>
    </row>
    <row r="1023" spans="1:15" s="5" customFormat="1" ht="12.75" customHeight="1">
      <c r="A1023" s="41">
        <f t="shared" si="17"/>
        <v>32</v>
      </c>
      <c r="D1023" s="127" t="s">
        <v>546</v>
      </c>
      <c r="E1023" s="38">
        <f t="shared" si="19"/>
        <v>32</v>
      </c>
      <c r="F1023" s="126"/>
      <c r="G1023" s="126"/>
      <c r="H1023" s="126"/>
      <c r="O1023" s="109"/>
    </row>
    <row r="1024" spans="1:15" s="5" customFormat="1" ht="12.75" customHeight="1">
      <c r="A1024" s="41">
        <f t="shared" si="17"/>
        <v>33</v>
      </c>
      <c r="C1024" s="5" t="s">
        <v>564</v>
      </c>
      <c r="D1024" s="127" t="s">
        <v>542</v>
      </c>
      <c r="E1024" s="38">
        <f t="shared" si="19"/>
        <v>33</v>
      </c>
      <c r="F1024" s="129"/>
      <c r="G1024" s="129"/>
      <c r="H1024" s="126"/>
      <c r="O1024" s="109"/>
    </row>
    <row r="1025" spans="1:15" s="5" customFormat="1" ht="12.75" customHeight="1">
      <c r="A1025" s="41">
        <f t="shared" si="17"/>
        <v>34</v>
      </c>
      <c r="D1025" s="127" t="s">
        <v>544</v>
      </c>
      <c r="E1025" s="38">
        <f t="shared" si="19"/>
        <v>34</v>
      </c>
      <c r="F1025" s="129"/>
      <c r="G1025" s="126"/>
      <c r="H1025" s="126"/>
      <c r="O1025" s="109"/>
    </row>
    <row r="1026" spans="1:15" s="5" customFormat="1" ht="12.75" customHeight="1">
      <c r="A1026" s="41">
        <f t="shared" si="17"/>
        <v>35</v>
      </c>
      <c r="C1026" s="27" t="s">
        <v>565</v>
      </c>
      <c r="D1026" s="127" t="s">
        <v>542</v>
      </c>
      <c r="E1026" s="38">
        <f t="shared" si="19"/>
        <v>35</v>
      </c>
      <c r="F1026" s="129"/>
      <c r="G1026" s="129"/>
      <c r="H1026" s="129"/>
      <c r="O1026" s="109"/>
    </row>
    <row r="1027" spans="1:15" s="5" customFormat="1" ht="12.75" customHeight="1">
      <c r="A1027" s="41">
        <f t="shared" si="17"/>
        <v>36</v>
      </c>
      <c r="C1027" s="27" t="s">
        <v>566</v>
      </c>
      <c r="D1027" s="127" t="s">
        <v>544</v>
      </c>
      <c r="E1027" s="38">
        <f t="shared" si="19"/>
        <v>36</v>
      </c>
      <c r="F1027" s="129"/>
      <c r="G1027" s="129"/>
      <c r="H1027" s="129"/>
      <c r="O1027" s="109"/>
    </row>
    <row r="1028" spans="4:15" s="5" customFormat="1" ht="12.75" customHeight="1">
      <c r="D1028" s="128"/>
      <c r="E1028" s="130" t="s">
        <v>1</v>
      </c>
      <c r="G1028" s="130" t="s">
        <v>1</v>
      </c>
      <c r="H1028" s="130" t="s">
        <v>1</v>
      </c>
      <c r="I1028" s="130" t="s">
        <v>1</v>
      </c>
      <c r="J1028" s="130" t="s">
        <v>1</v>
      </c>
      <c r="K1028" s="130"/>
      <c r="L1028" s="130" t="s">
        <v>1</v>
      </c>
      <c r="M1028" s="130" t="s">
        <v>1</v>
      </c>
      <c r="O1028" s="109"/>
    </row>
    <row r="1029" spans="1:15" s="5" customFormat="1" ht="12.75" customHeight="1">
      <c r="A1029" s="41">
        <f>+A1027+1</f>
        <v>37</v>
      </c>
      <c r="C1029" s="4" t="s">
        <v>109</v>
      </c>
      <c r="D1029" s="125"/>
      <c r="E1029" s="38">
        <f>+E1027+1</f>
        <v>37</v>
      </c>
      <c r="G1029" s="258">
        <f>SUM(G994:G1027)</f>
        <v>0</v>
      </c>
      <c r="H1029" s="258">
        <f>SUM(H994:H1027)</f>
        <v>0</v>
      </c>
      <c r="I1029" s="258">
        <f>SUM(I994:I1027)</f>
        <v>0</v>
      </c>
      <c r="J1029" s="258">
        <f>SUM(J994:J1027)</f>
        <v>0</v>
      </c>
      <c r="K1029" s="258"/>
      <c r="L1029" s="258">
        <f>SUM(L994:L1027)</f>
        <v>0</v>
      </c>
      <c r="M1029" s="258">
        <f>SUM(M994:M1027)</f>
        <v>0</v>
      </c>
      <c r="O1029" s="109"/>
    </row>
    <row r="1030" spans="3:15" s="5" customFormat="1" ht="12.75" customHeight="1">
      <c r="C1030" s="5" t="s">
        <v>567</v>
      </c>
      <c r="D1030" s="128"/>
      <c r="E1030" s="24" t="s">
        <v>1</v>
      </c>
      <c r="F1030" s="38"/>
      <c r="G1030" s="130" t="s">
        <v>1</v>
      </c>
      <c r="H1030" s="130" t="s">
        <v>1</v>
      </c>
      <c r="I1030" s="130" t="s">
        <v>1</v>
      </c>
      <c r="J1030" s="130" t="s">
        <v>1</v>
      </c>
      <c r="K1030" s="130"/>
      <c r="L1030" s="130" t="s">
        <v>1</v>
      </c>
      <c r="M1030" s="130" t="s">
        <v>1</v>
      </c>
      <c r="O1030" s="109"/>
    </row>
    <row r="1031" spans="4:15" s="5" customFormat="1" ht="9" customHeight="1">
      <c r="D1031" s="128"/>
      <c r="O1031" s="109"/>
    </row>
    <row r="1032" s="5" customFormat="1" ht="12">
      <c r="O1032" s="109"/>
    </row>
    <row r="1033" s="5" customFormat="1" ht="12">
      <c r="O1033" s="109"/>
    </row>
    <row r="1034" s="5" customFormat="1" ht="12">
      <c r="O1034" s="109"/>
    </row>
    <row r="1035" s="5" customFormat="1" ht="12">
      <c r="O1035" s="109"/>
    </row>
    <row r="1036" s="5" customFormat="1" ht="12">
      <c r="O1036" s="109"/>
    </row>
    <row r="1037" s="5" customFormat="1" ht="12">
      <c r="O1037" s="109"/>
    </row>
    <row r="1038" s="5" customFormat="1" ht="12">
      <c r="O1038" s="109"/>
    </row>
    <row r="1039" s="5" customFormat="1" ht="12">
      <c r="O1039" s="109"/>
    </row>
    <row r="1040" s="5" customFormat="1" ht="12">
      <c r="O1040" s="109"/>
    </row>
    <row r="1041" s="5" customFormat="1" ht="12">
      <c r="O1041" s="109"/>
    </row>
    <row r="1042" s="5" customFormat="1" ht="12">
      <c r="O1042" s="109"/>
    </row>
    <row r="1043" s="5" customFormat="1" ht="12">
      <c r="O1043" s="109"/>
    </row>
    <row r="1044" s="5" customFormat="1" ht="12">
      <c r="O1044" s="109"/>
    </row>
    <row r="1045" s="5" customFormat="1" ht="12">
      <c r="O1045" s="109"/>
    </row>
    <row r="1046" s="5" customFormat="1" ht="12">
      <c r="O1046" s="109"/>
    </row>
    <row r="1047" s="5" customFormat="1" ht="12">
      <c r="O1047" s="109"/>
    </row>
    <row r="1048" s="5" customFormat="1" ht="12">
      <c r="O1048" s="109"/>
    </row>
    <row r="1049" s="5" customFormat="1" ht="12">
      <c r="O1049" s="109"/>
    </row>
    <row r="1050" s="5" customFormat="1" ht="12">
      <c r="O1050" s="109"/>
    </row>
    <row r="1051" s="5" customFormat="1" ht="12">
      <c r="O1051" s="109"/>
    </row>
    <row r="1052" s="5" customFormat="1" ht="12">
      <c r="O1052" s="109"/>
    </row>
    <row r="1053" s="5" customFormat="1" ht="12">
      <c r="O1053" s="109"/>
    </row>
    <row r="1054" s="5" customFormat="1" ht="12">
      <c r="O1054" s="109"/>
    </row>
    <row r="1055" s="5" customFormat="1" ht="12">
      <c r="O1055" s="109"/>
    </row>
    <row r="1056" s="5" customFormat="1" ht="12">
      <c r="O1056" s="109"/>
    </row>
    <row r="1057" s="5" customFormat="1" ht="12">
      <c r="O1057" s="109"/>
    </row>
    <row r="1058" s="5" customFormat="1" ht="12">
      <c r="O1058" s="109"/>
    </row>
    <row r="1059" s="5" customFormat="1" ht="12">
      <c r="O1059" s="109"/>
    </row>
    <row r="1060" s="5" customFormat="1" ht="12">
      <c r="O1060" s="109"/>
    </row>
    <row r="1061" s="5" customFormat="1" ht="12">
      <c r="O1061" s="109"/>
    </row>
    <row r="1062" s="5" customFormat="1" ht="12">
      <c r="O1062" s="109"/>
    </row>
    <row r="1063" s="5" customFormat="1" ht="12">
      <c r="O1063" s="109"/>
    </row>
    <row r="1064" s="5" customFormat="1" ht="12">
      <c r="O1064" s="109"/>
    </row>
    <row r="1065" s="5" customFormat="1" ht="12">
      <c r="O1065" s="109"/>
    </row>
    <row r="1066" s="5" customFormat="1" ht="12">
      <c r="O1066" s="109"/>
    </row>
    <row r="1067" s="5" customFormat="1" ht="12">
      <c r="O1067" s="109"/>
    </row>
    <row r="1068" s="5" customFormat="1" ht="12">
      <c r="O1068" s="109"/>
    </row>
    <row r="1069" s="5" customFormat="1" ht="12">
      <c r="O1069" s="109"/>
    </row>
    <row r="1070" s="5" customFormat="1" ht="12">
      <c r="O1070" s="109"/>
    </row>
    <row r="1071" s="5" customFormat="1" ht="12">
      <c r="O1071" s="109"/>
    </row>
    <row r="1072" s="5" customFormat="1" ht="12">
      <c r="O1072" s="109"/>
    </row>
    <row r="1073" s="5" customFormat="1" ht="12">
      <c r="O1073" s="109"/>
    </row>
    <row r="1074" s="5" customFormat="1" ht="12">
      <c r="O1074" s="109"/>
    </row>
    <row r="1075" s="5" customFormat="1" ht="12">
      <c r="O1075" s="109"/>
    </row>
    <row r="1076" s="5" customFormat="1" ht="12">
      <c r="O1076" s="109"/>
    </row>
    <row r="1077" s="5" customFormat="1" ht="12">
      <c r="O1077" s="109"/>
    </row>
    <row r="1078" s="5" customFormat="1" ht="12">
      <c r="O1078" s="109"/>
    </row>
    <row r="1079" s="5" customFormat="1" ht="12">
      <c r="O1079" s="109"/>
    </row>
    <row r="1080" s="5" customFormat="1" ht="12">
      <c r="O1080" s="109"/>
    </row>
    <row r="1081" s="5" customFormat="1" ht="12">
      <c r="O1081" s="109"/>
    </row>
    <row r="1082" s="5" customFormat="1" ht="12">
      <c r="O1082" s="109"/>
    </row>
    <row r="1083" s="5" customFormat="1" ht="12">
      <c r="O1083" s="109"/>
    </row>
    <row r="1084" s="5" customFormat="1" ht="12">
      <c r="O1084" s="109"/>
    </row>
    <row r="1085" s="5" customFormat="1" ht="12">
      <c r="O1085" s="109"/>
    </row>
    <row r="1086" s="5" customFormat="1" ht="12">
      <c r="O1086" s="109"/>
    </row>
    <row r="1087" s="5" customFormat="1" ht="12">
      <c r="O1087" s="109"/>
    </row>
    <row r="1088" s="5" customFormat="1" ht="12">
      <c r="O1088" s="109"/>
    </row>
    <row r="1089" s="5" customFormat="1" ht="12">
      <c r="O1089" s="109"/>
    </row>
    <row r="1090" s="5" customFormat="1" ht="12">
      <c r="O1090" s="109"/>
    </row>
    <row r="1091" s="5" customFormat="1" ht="12">
      <c r="O1091" s="109"/>
    </row>
    <row r="1092" s="5" customFormat="1" ht="12">
      <c r="O1092" s="109"/>
    </row>
    <row r="1093" s="5" customFormat="1" ht="12">
      <c r="O1093" s="109"/>
    </row>
    <row r="1094" s="5" customFormat="1" ht="12">
      <c r="O1094" s="109"/>
    </row>
    <row r="1095" s="5" customFormat="1" ht="12">
      <c r="O1095" s="109"/>
    </row>
    <row r="1096" s="5" customFormat="1" ht="12">
      <c r="O1096" s="109"/>
    </row>
    <row r="1097" s="5" customFormat="1" ht="12">
      <c r="O1097" s="109"/>
    </row>
    <row r="1098" s="5" customFormat="1" ht="12">
      <c r="O1098" s="109"/>
    </row>
    <row r="1099" s="5" customFormat="1" ht="12">
      <c r="O1099" s="109"/>
    </row>
    <row r="1100" s="5" customFormat="1" ht="12">
      <c r="O1100" s="109"/>
    </row>
    <row r="1101" s="5" customFormat="1" ht="12">
      <c r="O1101" s="109"/>
    </row>
    <row r="1102" s="5" customFormat="1" ht="12">
      <c r="O1102" s="109"/>
    </row>
    <row r="1103" s="5" customFormat="1" ht="12">
      <c r="O1103" s="109"/>
    </row>
    <row r="1104" s="5" customFormat="1" ht="12">
      <c r="O1104" s="109"/>
    </row>
    <row r="1105" s="5" customFormat="1" ht="12">
      <c r="O1105" s="109"/>
    </row>
    <row r="1106" s="5" customFormat="1" ht="12">
      <c r="O1106" s="109"/>
    </row>
    <row r="1107" s="5" customFormat="1" ht="12">
      <c r="O1107" s="109"/>
    </row>
    <row r="1108" s="5" customFormat="1" ht="12">
      <c r="O1108" s="109"/>
    </row>
    <row r="1109" s="5" customFormat="1" ht="12">
      <c r="O1109" s="109"/>
    </row>
    <row r="1110" s="5" customFormat="1" ht="12">
      <c r="O1110" s="109"/>
    </row>
    <row r="1111" s="5" customFormat="1" ht="12">
      <c r="O1111" s="109"/>
    </row>
    <row r="1112" s="5" customFormat="1" ht="12">
      <c r="O1112" s="109"/>
    </row>
    <row r="1113" s="5" customFormat="1" ht="12">
      <c r="O1113" s="109"/>
    </row>
    <row r="1114" s="5" customFormat="1" ht="12">
      <c r="O1114" s="109"/>
    </row>
    <row r="1115" s="5" customFormat="1" ht="12">
      <c r="O1115" s="109"/>
    </row>
    <row r="1116" s="5" customFormat="1" ht="12">
      <c r="O1116" s="109"/>
    </row>
    <row r="1117" s="5" customFormat="1" ht="12">
      <c r="O1117" s="109"/>
    </row>
    <row r="1118" s="5" customFormat="1" ht="12">
      <c r="O1118" s="109"/>
    </row>
    <row r="1119" s="5" customFormat="1" ht="12">
      <c r="O1119" s="109"/>
    </row>
    <row r="1120" s="5" customFormat="1" ht="12">
      <c r="O1120" s="109"/>
    </row>
    <row r="1121" s="5" customFormat="1" ht="12">
      <c r="O1121" s="109"/>
    </row>
    <row r="1122" s="5" customFormat="1" ht="12">
      <c r="O1122" s="109"/>
    </row>
    <row r="1123" s="5" customFormat="1" ht="12">
      <c r="O1123" s="109"/>
    </row>
    <row r="1124" s="5" customFormat="1" ht="12">
      <c r="O1124" s="109"/>
    </row>
    <row r="1125" s="5" customFormat="1" ht="12">
      <c r="O1125" s="109"/>
    </row>
    <row r="1126" s="5" customFormat="1" ht="12">
      <c r="O1126" s="109"/>
    </row>
    <row r="1127" s="5" customFormat="1" ht="12">
      <c r="O1127" s="109"/>
    </row>
    <row r="1128" s="5" customFormat="1" ht="12">
      <c r="O1128" s="109"/>
    </row>
    <row r="1129" s="5" customFormat="1" ht="12">
      <c r="O1129" s="109"/>
    </row>
    <row r="1130" s="5" customFormat="1" ht="12">
      <c r="O1130" s="109"/>
    </row>
    <row r="1131" s="5" customFormat="1" ht="12">
      <c r="O1131" s="109"/>
    </row>
    <row r="1132" s="5" customFormat="1" ht="12">
      <c r="O1132" s="109"/>
    </row>
    <row r="1133" s="5" customFormat="1" ht="12">
      <c r="O1133" s="109"/>
    </row>
    <row r="1134" s="5" customFormat="1" ht="12">
      <c r="O1134" s="109"/>
    </row>
    <row r="1135" s="5" customFormat="1" ht="12">
      <c r="O1135" s="109"/>
    </row>
    <row r="1136" s="5" customFormat="1" ht="12">
      <c r="O1136" s="109"/>
    </row>
    <row r="1137" s="5" customFormat="1" ht="12">
      <c r="O1137" s="109"/>
    </row>
    <row r="1138" s="5" customFormat="1" ht="12">
      <c r="O1138" s="109"/>
    </row>
    <row r="1139" s="5" customFormat="1" ht="12">
      <c r="O1139" s="109"/>
    </row>
    <row r="1140" s="5" customFormat="1" ht="12">
      <c r="O1140" s="109"/>
    </row>
    <row r="1141" s="5" customFormat="1" ht="12">
      <c r="O1141" s="109"/>
    </row>
    <row r="1142" s="5" customFormat="1" ht="12">
      <c r="O1142" s="109"/>
    </row>
    <row r="1143" s="5" customFormat="1" ht="12">
      <c r="O1143" s="109"/>
    </row>
    <row r="1144" s="5" customFormat="1" ht="12">
      <c r="O1144" s="109"/>
    </row>
    <row r="1145" s="5" customFormat="1" ht="12">
      <c r="O1145" s="109"/>
    </row>
    <row r="1146" s="5" customFormat="1" ht="12">
      <c r="O1146" s="109"/>
    </row>
    <row r="1147" s="5" customFormat="1" ht="12">
      <c r="O1147" s="109"/>
    </row>
    <row r="1148" s="5" customFormat="1" ht="12">
      <c r="O1148" s="109"/>
    </row>
    <row r="1149" s="5" customFormat="1" ht="12">
      <c r="O1149" s="109"/>
    </row>
    <row r="1150" s="5" customFormat="1" ht="12">
      <c r="O1150" s="109"/>
    </row>
    <row r="1151" s="5" customFormat="1" ht="12">
      <c r="O1151" s="109"/>
    </row>
    <row r="1152" s="5" customFormat="1" ht="12">
      <c r="O1152" s="109"/>
    </row>
    <row r="1153" s="5" customFormat="1" ht="12">
      <c r="O1153" s="109"/>
    </row>
    <row r="1154" s="5" customFormat="1" ht="12">
      <c r="O1154" s="109"/>
    </row>
    <row r="1155" s="5" customFormat="1" ht="12">
      <c r="O1155" s="109"/>
    </row>
    <row r="1156" s="5" customFormat="1" ht="12">
      <c r="O1156" s="109"/>
    </row>
    <row r="1157" s="5" customFormat="1" ht="12">
      <c r="O1157" s="109"/>
    </row>
    <row r="1158" s="5" customFormat="1" ht="12">
      <c r="O1158" s="109"/>
    </row>
    <row r="1159" s="5" customFormat="1" ht="12">
      <c r="O1159" s="109"/>
    </row>
    <row r="1160" s="5" customFormat="1" ht="12">
      <c r="O1160" s="109"/>
    </row>
    <row r="1161" s="5" customFormat="1" ht="12">
      <c r="O1161" s="109"/>
    </row>
    <row r="1162" s="5" customFormat="1" ht="12">
      <c r="O1162" s="109"/>
    </row>
    <row r="1163" s="5" customFormat="1" ht="12">
      <c r="O1163" s="109"/>
    </row>
    <row r="1164" s="5" customFormat="1" ht="12">
      <c r="O1164" s="109"/>
    </row>
    <row r="1165" s="5" customFormat="1" ht="12">
      <c r="O1165" s="109"/>
    </row>
    <row r="1166" s="5" customFormat="1" ht="12">
      <c r="O1166" s="109"/>
    </row>
    <row r="1167" s="5" customFormat="1" ht="12">
      <c r="O1167" s="109"/>
    </row>
    <row r="1168" s="5" customFormat="1" ht="12">
      <c r="O1168" s="109"/>
    </row>
    <row r="1169" s="5" customFormat="1" ht="12">
      <c r="O1169" s="109"/>
    </row>
    <row r="1170" s="5" customFormat="1" ht="12">
      <c r="O1170" s="109"/>
    </row>
    <row r="1171" s="5" customFormat="1" ht="12">
      <c r="O1171" s="109"/>
    </row>
    <row r="1172" s="5" customFormat="1" ht="12">
      <c r="O1172" s="109"/>
    </row>
    <row r="1173" s="5" customFormat="1" ht="12">
      <c r="O1173" s="109"/>
    </row>
    <row r="1174" s="5" customFormat="1" ht="12">
      <c r="O1174" s="109"/>
    </row>
    <row r="1175" s="5" customFormat="1" ht="12">
      <c r="O1175" s="109"/>
    </row>
    <row r="1176" s="5" customFormat="1" ht="12">
      <c r="O1176" s="109"/>
    </row>
    <row r="1177" s="5" customFormat="1" ht="12">
      <c r="O1177" s="109"/>
    </row>
    <row r="1178" s="5" customFormat="1" ht="12">
      <c r="O1178" s="109"/>
    </row>
    <row r="1179" s="5" customFormat="1" ht="12">
      <c r="O1179" s="109"/>
    </row>
    <row r="1180" s="5" customFormat="1" ht="12">
      <c r="O1180" s="109"/>
    </row>
    <row r="1181" s="5" customFormat="1" ht="12">
      <c r="O1181" s="109"/>
    </row>
    <row r="1182" s="5" customFormat="1" ht="12">
      <c r="O1182" s="109"/>
    </row>
    <row r="1183" s="5" customFormat="1" ht="12">
      <c r="O1183" s="109"/>
    </row>
    <row r="1184" s="5" customFormat="1" ht="12">
      <c r="O1184" s="109"/>
    </row>
    <row r="1185" s="5" customFormat="1" ht="12">
      <c r="O1185" s="109"/>
    </row>
    <row r="1186" s="5" customFormat="1" ht="12">
      <c r="O1186" s="109"/>
    </row>
    <row r="1187" s="5" customFormat="1" ht="12">
      <c r="O1187" s="109"/>
    </row>
    <row r="1188" s="5" customFormat="1" ht="12">
      <c r="O1188" s="109"/>
    </row>
    <row r="1189" s="5" customFormat="1" ht="12">
      <c r="O1189" s="109"/>
    </row>
    <row r="1190" s="5" customFormat="1" ht="12">
      <c r="O1190" s="109"/>
    </row>
    <row r="1191" s="5" customFormat="1" ht="12">
      <c r="O1191" s="109"/>
    </row>
    <row r="1192" s="5" customFormat="1" ht="12">
      <c r="O1192" s="109"/>
    </row>
    <row r="1193" s="5" customFormat="1" ht="12">
      <c r="O1193" s="109"/>
    </row>
    <row r="1194" s="5" customFormat="1" ht="12">
      <c r="O1194" s="109"/>
    </row>
    <row r="1195" s="5" customFormat="1" ht="12">
      <c r="O1195" s="109"/>
    </row>
    <row r="1196" s="5" customFormat="1" ht="12">
      <c r="O1196" s="109"/>
    </row>
    <row r="1197" s="5" customFormat="1" ht="12">
      <c r="O1197" s="109"/>
    </row>
    <row r="1198" s="5" customFormat="1" ht="12">
      <c r="O1198" s="109"/>
    </row>
    <row r="1199" s="5" customFormat="1" ht="12">
      <c r="O1199" s="109"/>
    </row>
    <row r="1200" s="5" customFormat="1" ht="12">
      <c r="O1200" s="109"/>
    </row>
    <row r="1201" s="5" customFormat="1" ht="12">
      <c r="O1201" s="109"/>
    </row>
    <row r="1202" s="5" customFormat="1" ht="12">
      <c r="O1202" s="109"/>
    </row>
    <row r="1203" s="5" customFormat="1" ht="12">
      <c r="O1203" s="109"/>
    </row>
  </sheetData>
  <sheetProtection/>
  <mergeCells count="26">
    <mergeCell ref="A5:J5"/>
    <mergeCell ref="A8:J8"/>
    <mergeCell ref="A9:J9"/>
    <mergeCell ref="A20:J20"/>
    <mergeCell ref="A28:J28"/>
    <mergeCell ref="A83:J83"/>
    <mergeCell ref="A175:J175"/>
    <mergeCell ref="A226:J226"/>
    <mergeCell ref="A43:M43"/>
    <mergeCell ref="A126:M126"/>
    <mergeCell ref="A275:J275"/>
    <mergeCell ref="A564:J564"/>
    <mergeCell ref="A604:J604"/>
    <mergeCell ref="A642:J642"/>
    <mergeCell ref="A679:J679"/>
    <mergeCell ref="A716:J716"/>
    <mergeCell ref="A753:J753"/>
    <mergeCell ref="A790:J790"/>
    <mergeCell ref="L990:M990"/>
    <mergeCell ref="A826:J826"/>
    <mergeCell ref="A876:J876"/>
    <mergeCell ref="A916:J916"/>
    <mergeCell ref="A953:J953"/>
    <mergeCell ref="D987:F987"/>
    <mergeCell ref="G990:H990"/>
    <mergeCell ref="I990:J990"/>
  </mergeCells>
  <printOptions/>
  <pageMargins left="0.75" right="0.75" top="1" bottom="1" header="0.5" footer="0.5"/>
  <pageSetup fitToHeight="0" fitToWidth="1" horizontalDpi="600" verticalDpi="600" orientation="landscape" scale="70" r:id="rId1"/>
  <rowBreaks count="24" manualBreakCount="24">
    <brk id="38" max="12" man="1"/>
    <brk id="80" max="12" man="1"/>
    <brk id="121" max="12" man="1"/>
    <brk id="171" max="12" man="1"/>
    <brk id="223" max="12" man="1"/>
    <brk id="272" max="12" man="1"/>
    <brk id="320" max="12" man="1"/>
    <brk id="369" max="12" man="1"/>
    <brk id="419" max="12" man="1"/>
    <brk id="456" max="12" man="1"/>
    <brk id="492" max="12" man="1"/>
    <brk id="525" max="12" man="1"/>
    <brk id="562" max="12" man="1"/>
    <brk id="601" max="12" man="1"/>
    <brk id="639" max="12" man="1"/>
    <brk id="676" max="12" man="1"/>
    <brk id="713" max="12" man="1"/>
    <brk id="750" max="12" man="1"/>
    <brk id="787" max="12" man="1"/>
    <brk id="823" max="12" man="1"/>
    <brk id="874" max="12" man="1"/>
    <brk id="913" max="12" man="1"/>
    <brk id="949" max="12" man="1"/>
    <brk id="984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2"/>
  <sheetViews>
    <sheetView view="pageBreakPreview" zoomScale="75" zoomScaleSheetLayoutView="75" zoomScalePageLayoutView="0" workbookViewId="0" topLeftCell="C330">
      <selection activeCell="I318" sqref="I318"/>
    </sheetView>
  </sheetViews>
  <sheetFormatPr defaultColWidth="9.625" defaultRowHeight="12.75"/>
  <cols>
    <col min="1" max="1" width="7.625" style="267" customWidth="1"/>
    <col min="2" max="2" width="1.875" style="267" customWidth="1"/>
    <col min="3" max="3" width="35.125" style="267" customWidth="1"/>
    <col min="4" max="4" width="24.125" style="267" customWidth="1"/>
    <col min="5" max="6" width="8.125" style="267" customWidth="1"/>
    <col min="7" max="7" width="7.50390625" style="267" customWidth="1"/>
    <col min="8" max="8" width="13.75390625" style="267" customWidth="1"/>
    <col min="9" max="9" width="11.625" style="268" customWidth="1"/>
    <col min="10" max="10" width="12.625" style="269" customWidth="1"/>
    <col min="11" max="11" width="8.875" style="267" customWidth="1"/>
    <col min="12" max="12" width="8.625" style="268" customWidth="1"/>
    <col min="13" max="13" width="14.25390625" style="269" bestFit="1" customWidth="1"/>
    <col min="14" max="16384" width="9.625" style="267" customWidth="1"/>
  </cols>
  <sheetData>
    <row r="1" spans="1:13" ht="15.75">
      <c r="A1" s="5"/>
      <c r="B1" s="5"/>
      <c r="C1" s="5"/>
      <c r="D1" s="5"/>
      <c r="E1" s="5"/>
      <c r="F1" s="192"/>
      <c r="G1" s="192"/>
      <c r="H1" s="192"/>
      <c r="I1" s="192"/>
      <c r="J1" s="192"/>
      <c r="K1" s="192"/>
      <c r="L1" s="225"/>
      <c r="M1" s="225"/>
    </row>
    <row r="2" spans="1:13" ht="15.75">
      <c r="A2" s="5"/>
      <c r="B2" s="5"/>
      <c r="C2" s="5"/>
      <c r="D2" s="5"/>
      <c r="E2" s="5"/>
      <c r="F2" s="192"/>
      <c r="G2" s="192"/>
      <c r="H2" s="192"/>
      <c r="I2" s="192"/>
      <c r="J2" s="372"/>
      <c r="K2" s="372"/>
      <c r="L2" s="225"/>
      <c r="M2" s="225" t="s">
        <v>158</v>
      </c>
    </row>
    <row r="3" spans="1:13" ht="15.75">
      <c r="A3" s="5"/>
      <c r="B3" s="5"/>
      <c r="C3" s="5"/>
      <c r="D3" s="5"/>
      <c r="E3" s="5"/>
      <c r="F3" s="192"/>
      <c r="G3" s="192"/>
      <c r="H3" s="192"/>
      <c r="I3" s="192"/>
      <c r="J3" s="208"/>
      <c r="K3" s="208"/>
      <c r="L3" s="225"/>
      <c r="M3" s="225" t="s">
        <v>288</v>
      </c>
    </row>
    <row r="4" spans="1:13" ht="15.75">
      <c r="A4" s="5"/>
      <c r="B4" s="5"/>
      <c r="C4" s="5"/>
      <c r="D4" s="5"/>
      <c r="E4" s="5"/>
      <c r="F4" s="192"/>
      <c r="G4" s="192"/>
      <c r="H4" s="192"/>
      <c r="I4" s="192"/>
      <c r="J4" s="192"/>
      <c r="K4" s="192"/>
      <c r="L4" s="225"/>
      <c r="M4" s="225"/>
    </row>
    <row r="5" spans="1:13" ht="45">
      <c r="A5" s="424" t="s">
        <v>157</v>
      </c>
      <c r="B5" s="424"/>
      <c r="C5" s="424"/>
      <c r="D5" s="424"/>
      <c r="E5" s="424"/>
      <c r="F5" s="424"/>
      <c r="G5" s="424"/>
      <c r="H5" s="424"/>
      <c r="I5" s="424"/>
      <c r="J5" s="424"/>
      <c r="K5" s="354"/>
      <c r="L5" s="225"/>
      <c r="M5" s="225"/>
    </row>
    <row r="6" spans="1:13" ht="15.75">
      <c r="A6" s="5"/>
      <c r="B6" s="5"/>
      <c r="C6" s="5"/>
      <c r="D6" s="5"/>
      <c r="E6" s="5"/>
      <c r="F6" s="192"/>
      <c r="G6" s="192"/>
      <c r="H6" s="192"/>
      <c r="I6" s="192"/>
      <c r="J6" s="192"/>
      <c r="K6" s="192"/>
      <c r="L6" s="225"/>
      <c r="M6" s="225"/>
    </row>
    <row r="7" spans="1:13" ht="15.75">
      <c r="A7" s="5"/>
      <c r="B7" s="5"/>
      <c r="C7" s="5"/>
      <c r="D7" s="5"/>
      <c r="E7" s="5"/>
      <c r="F7" s="192"/>
      <c r="G7" s="192"/>
      <c r="H7" s="192"/>
      <c r="I7" s="192"/>
      <c r="J7" s="192"/>
      <c r="K7" s="192"/>
      <c r="L7" s="225"/>
      <c r="M7" s="225"/>
    </row>
    <row r="8" spans="1:13" ht="33">
      <c r="A8" s="425" t="s">
        <v>285</v>
      </c>
      <c r="B8" s="425"/>
      <c r="C8" s="425"/>
      <c r="D8" s="425"/>
      <c r="E8" s="425"/>
      <c r="F8" s="425"/>
      <c r="G8" s="425"/>
      <c r="H8" s="425"/>
      <c r="I8" s="425"/>
      <c r="J8" s="425"/>
      <c r="K8" s="355"/>
      <c r="L8" s="225"/>
      <c r="M8" s="225"/>
    </row>
    <row r="9" spans="1:13" ht="33">
      <c r="A9" s="425" t="s">
        <v>286</v>
      </c>
      <c r="B9" s="425"/>
      <c r="C9" s="425"/>
      <c r="D9" s="425"/>
      <c r="E9" s="425"/>
      <c r="F9" s="425"/>
      <c r="G9" s="425"/>
      <c r="H9" s="425"/>
      <c r="I9" s="425"/>
      <c r="J9" s="425"/>
      <c r="K9" s="355"/>
      <c r="L9" s="225"/>
      <c r="M9" s="225"/>
    </row>
    <row r="10" spans="1:13" ht="15.75">
      <c r="A10" s="5"/>
      <c r="B10" s="5"/>
      <c r="C10" s="5"/>
      <c r="D10" s="5"/>
      <c r="E10" s="5"/>
      <c r="F10" s="192"/>
      <c r="G10" s="192"/>
      <c r="H10" s="192"/>
      <c r="I10" s="192"/>
      <c r="J10" s="192"/>
      <c r="K10" s="192"/>
      <c r="L10" s="225"/>
      <c r="M10" s="225"/>
    </row>
    <row r="11" spans="1:13" ht="15.75">
      <c r="A11" s="5"/>
      <c r="B11" s="5"/>
      <c r="C11" s="5"/>
      <c r="D11" s="5"/>
      <c r="E11" s="5"/>
      <c r="F11" s="192"/>
      <c r="G11" s="192"/>
      <c r="H11" s="192"/>
      <c r="I11" s="192"/>
      <c r="J11" s="192"/>
      <c r="K11" s="192"/>
      <c r="L11" s="225"/>
      <c r="M11" s="225"/>
    </row>
    <row r="12" spans="1:13" ht="15.75">
      <c r="A12" s="5"/>
      <c r="B12" s="5"/>
      <c r="C12" s="5"/>
      <c r="D12" s="5"/>
      <c r="E12" s="5"/>
      <c r="F12" s="192"/>
      <c r="G12" s="192"/>
      <c r="H12" s="192"/>
      <c r="I12" s="192"/>
      <c r="J12" s="192"/>
      <c r="K12" s="192"/>
      <c r="L12" s="225"/>
      <c r="M12" s="225"/>
    </row>
    <row r="13" spans="1:13" ht="10.5" customHeight="1">
      <c r="A13" s="5"/>
      <c r="B13" s="5"/>
      <c r="C13" s="5"/>
      <c r="D13" s="5"/>
      <c r="E13" s="5"/>
      <c r="F13" s="192"/>
      <c r="G13" s="192"/>
      <c r="H13" s="192"/>
      <c r="I13" s="192"/>
      <c r="J13" s="192"/>
      <c r="K13" s="192"/>
      <c r="L13" s="225"/>
      <c r="M13" s="225"/>
    </row>
    <row r="14" spans="1:13" ht="15.75" hidden="1">
      <c r="A14" s="5"/>
      <c r="B14" s="5"/>
      <c r="C14" s="5"/>
      <c r="D14" s="5"/>
      <c r="E14" s="5"/>
      <c r="F14" s="192"/>
      <c r="G14" s="192"/>
      <c r="H14" s="192"/>
      <c r="I14" s="192"/>
      <c r="J14" s="192"/>
      <c r="K14" s="192"/>
      <c r="L14" s="225"/>
      <c r="M14" s="225"/>
    </row>
    <row r="15" spans="1:13" ht="15.75">
      <c r="A15" s="5"/>
      <c r="B15" s="5"/>
      <c r="C15" s="5"/>
      <c r="D15" s="5"/>
      <c r="E15" s="5"/>
      <c r="F15" s="192"/>
      <c r="G15" s="192"/>
      <c r="H15" s="192"/>
      <c r="I15" s="192"/>
      <c r="J15" s="192"/>
      <c r="K15" s="192"/>
      <c r="L15" s="225"/>
      <c r="M15" s="225"/>
    </row>
    <row r="16" spans="1:13" ht="15.75">
      <c r="A16" s="5"/>
      <c r="B16" s="5"/>
      <c r="C16" s="5"/>
      <c r="D16" s="5"/>
      <c r="E16" s="5"/>
      <c r="F16" s="192"/>
      <c r="G16" s="192"/>
      <c r="H16" s="192"/>
      <c r="I16" s="192"/>
      <c r="J16" s="192"/>
      <c r="K16" s="192"/>
      <c r="L16" s="225"/>
      <c r="M16" s="225"/>
    </row>
    <row r="17" spans="1:13" ht="15.75">
      <c r="A17" s="5"/>
      <c r="B17" s="5"/>
      <c r="C17" s="5"/>
      <c r="D17" s="5"/>
      <c r="E17" s="5"/>
      <c r="F17" s="192"/>
      <c r="G17" s="192"/>
      <c r="H17" s="192"/>
      <c r="I17" s="192"/>
      <c r="J17" s="192"/>
      <c r="K17" s="192"/>
      <c r="L17" s="225"/>
      <c r="M17" s="225"/>
    </row>
    <row r="18" spans="1:13" ht="15.75">
      <c r="A18" s="5"/>
      <c r="B18" s="5"/>
      <c r="C18" s="5"/>
      <c r="D18" s="5"/>
      <c r="E18" s="5"/>
      <c r="F18" s="192"/>
      <c r="G18" s="192"/>
      <c r="H18" s="192"/>
      <c r="I18" s="192"/>
      <c r="J18" s="192"/>
      <c r="K18" s="192"/>
      <c r="L18" s="225"/>
      <c r="M18" s="225"/>
    </row>
    <row r="19" spans="1:13" ht="15.75">
      <c r="A19" s="5"/>
      <c r="B19" s="5"/>
      <c r="C19" s="5"/>
      <c r="D19" s="5"/>
      <c r="E19" s="5"/>
      <c r="F19" s="192"/>
      <c r="G19" s="192"/>
      <c r="H19" s="192"/>
      <c r="I19" s="192"/>
      <c r="J19" s="192"/>
      <c r="K19" s="192"/>
      <c r="L19" s="225"/>
      <c r="M19" s="225"/>
    </row>
    <row r="20" spans="1:13" ht="45">
      <c r="A20" s="438" t="s">
        <v>661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</row>
    <row r="21" spans="1:13" ht="45">
      <c r="A21" s="438" t="s">
        <v>662</v>
      </c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</row>
    <row r="22" spans="1:13" ht="15.75">
      <c r="A22" s="5"/>
      <c r="B22" s="5"/>
      <c r="C22" s="5"/>
      <c r="D22" s="5"/>
      <c r="E22" s="5"/>
      <c r="F22" s="192"/>
      <c r="G22" s="192"/>
      <c r="H22" s="192"/>
      <c r="I22" s="192"/>
      <c r="J22" s="192"/>
      <c r="K22" s="192"/>
      <c r="L22" s="225"/>
      <c r="M22" s="225"/>
    </row>
    <row r="23" spans="1:13" ht="9" customHeight="1">
      <c r="A23" s="5"/>
      <c r="B23" s="5"/>
      <c r="C23" s="5"/>
      <c r="D23" s="5"/>
      <c r="E23" s="5"/>
      <c r="F23" s="192"/>
      <c r="G23" s="192"/>
      <c r="H23" s="192"/>
      <c r="I23" s="192"/>
      <c r="J23" s="192"/>
      <c r="K23" s="192"/>
      <c r="L23" s="225"/>
      <c r="M23" s="225"/>
    </row>
    <row r="24" spans="1:13" ht="15.75" hidden="1">
      <c r="A24" s="5"/>
      <c r="B24" s="5"/>
      <c r="C24" s="5"/>
      <c r="D24" s="5"/>
      <c r="E24" s="5"/>
      <c r="F24" s="192"/>
      <c r="G24" s="192"/>
      <c r="H24" s="192"/>
      <c r="I24" s="192"/>
      <c r="J24" s="192"/>
      <c r="K24" s="192"/>
      <c r="L24" s="225"/>
      <c r="M24" s="225"/>
    </row>
    <row r="25" spans="1:13" ht="15.75" hidden="1">
      <c r="A25" s="5"/>
      <c r="B25" s="5"/>
      <c r="C25" s="5"/>
      <c r="D25" s="5"/>
      <c r="E25" s="5"/>
      <c r="F25" s="192"/>
      <c r="G25" s="192"/>
      <c r="H25" s="192"/>
      <c r="I25" s="192"/>
      <c r="J25" s="192"/>
      <c r="K25" s="192"/>
      <c r="L25" s="225"/>
      <c r="M25" s="225"/>
    </row>
    <row r="26" spans="1:13" ht="15.75" hidden="1">
      <c r="A26" s="5"/>
      <c r="B26" s="5"/>
      <c r="C26" s="5"/>
      <c r="D26" s="5"/>
      <c r="E26" s="5"/>
      <c r="F26" s="192"/>
      <c r="G26" s="192"/>
      <c r="H26" s="192"/>
      <c r="I26" s="192"/>
      <c r="J26" s="192"/>
      <c r="K26" s="192"/>
      <c r="L26" s="225"/>
      <c r="M26" s="225"/>
    </row>
    <row r="27" spans="1:13" ht="15.75" hidden="1">
      <c r="A27" s="5"/>
      <c r="B27" s="5"/>
      <c r="C27" s="5"/>
      <c r="D27" s="5"/>
      <c r="E27" s="5"/>
      <c r="F27" s="192"/>
      <c r="G27" s="192"/>
      <c r="H27" s="192"/>
      <c r="I27" s="192"/>
      <c r="J27" s="192"/>
      <c r="K27" s="192"/>
      <c r="L27" s="225"/>
      <c r="M27" s="225"/>
    </row>
    <row r="28" spans="1:13" ht="27">
      <c r="A28" s="427"/>
      <c r="B28" s="427"/>
      <c r="C28" s="427"/>
      <c r="D28" s="427"/>
      <c r="E28" s="427"/>
      <c r="F28" s="427"/>
      <c r="G28" s="427"/>
      <c r="H28" s="427"/>
      <c r="I28" s="427"/>
      <c r="J28" s="427"/>
      <c r="K28" s="357"/>
      <c r="L28" s="225"/>
      <c r="M28" s="225"/>
    </row>
    <row r="29" spans="1:13" ht="15.75">
      <c r="A29" s="5"/>
      <c r="B29" s="5"/>
      <c r="C29" s="5"/>
      <c r="D29" s="5"/>
      <c r="E29" s="5"/>
      <c r="F29" s="192"/>
      <c r="G29" s="192"/>
      <c r="H29" s="192"/>
      <c r="I29" s="192"/>
      <c r="J29" s="192"/>
      <c r="K29" s="192"/>
      <c r="L29" s="225"/>
      <c r="M29" s="225"/>
    </row>
    <row r="30" spans="1:13" ht="8.25" customHeight="1">
      <c r="A30" s="5"/>
      <c r="B30" s="5"/>
      <c r="C30" s="5"/>
      <c r="D30" s="5"/>
      <c r="E30" s="5"/>
      <c r="F30" s="192"/>
      <c r="G30" s="192"/>
      <c r="H30" s="192"/>
      <c r="I30" s="192"/>
      <c r="J30" s="192"/>
      <c r="K30" s="192"/>
      <c r="L30" s="225"/>
      <c r="M30" s="225"/>
    </row>
    <row r="31" spans="1:13" ht="15.75" hidden="1">
      <c r="A31" s="5"/>
      <c r="B31" s="5"/>
      <c r="C31" s="5"/>
      <c r="D31" s="5"/>
      <c r="E31" s="5"/>
      <c r="F31" s="192"/>
      <c r="G31" s="192"/>
      <c r="H31" s="192"/>
      <c r="I31" s="192"/>
      <c r="J31" s="192"/>
      <c r="K31" s="192"/>
      <c r="L31" s="225"/>
      <c r="M31" s="225"/>
    </row>
    <row r="32" spans="1:13" ht="15.75" hidden="1">
      <c r="A32" s="5"/>
      <c r="B32" s="5"/>
      <c r="C32" s="5"/>
      <c r="D32" s="5"/>
      <c r="E32" s="5"/>
      <c r="F32" s="192"/>
      <c r="G32" s="192"/>
      <c r="H32" s="192"/>
      <c r="I32" s="192"/>
      <c r="J32" s="192"/>
      <c r="K32" s="192"/>
      <c r="L32" s="225"/>
      <c r="M32" s="225"/>
    </row>
    <row r="33" spans="1:13" ht="15.75" hidden="1">
      <c r="A33" s="5"/>
      <c r="B33" s="5"/>
      <c r="C33" s="5"/>
      <c r="D33" s="5"/>
      <c r="E33" s="5"/>
      <c r="F33" s="192"/>
      <c r="G33" s="192"/>
      <c r="H33" s="192"/>
      <c r="I33" s="192"/>
      <c r="J33" s="192"/>
      <c r="K33" s="192"/>
      <c r="L33" s="225"/>
      <c r="M33" s="225"/>
    </row>
    <row r="34" spans="1:13" ht="15.75" hidden="1">
      <c r="A34" s="5"/>
      <c r="B34" s="5"/>
      <c r="C34" s="5"/>
      <c r="D34" s="5"/>
      <c r="E34" s="5"/>
      <c r="F34" s="192"/>
      <c r="G34" s="192"/>
      <c r="H34" s="192"/>
      <c r="I34" s="192"/>
      <c r="J34" s="192"/>
      <c r="K34" s="192"/>
      <c r="L34" s="225"/>
      <c r="M34" s="225"/>
    </row>
    <row r="35" spans="1:13" ht="15.75" hidden="1">
      <c r="A35" s="41"/>
      <c r="B35" s="5"/>
      <c r="C35" s="4"/>
      <c r="D35" s="5"/>
      <c r="E35" s="41"/>
      <c r="F35" s="179"/>
      <c r="G35" s="179"/>
      <c r="H35" s="179"/>
      <c r="I35" s="179"/>
      <c r="J35" s="179"/>
      <c r="K35" s="179"/>
      <c r="L35" s="225"/>
      <c r="M35" s="225"/>
    </row>
    <row r="36" spans="1:13" ht="15.75">
      <c r="A36" s="225" t="s">
        <v>287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</row>
    <row r="37" spans="1:13" ht="15.75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</row>
    <row r="38" spans="1:13" ht="15.75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</row>
    <row r="39" spans="1:13" ht="12.75">
      <c r="A39" s="270"/>
      <c r="C39" s="271"/>
      <c r="E39" s="270"/>
      <c r="F39" s="272"/>
      <c r="G39" s="272"/>
      <c r="H39" s="272"/>
      <c r="I39" s="273"/>
      <c r="J39" s="274"/>
      <c r="K39" s="272"/>
      <c r="L39" s="273"/>
      <c r="M39" s="274"/>
    </row>
    <row r="40" spans="1:13" s="84" customFormat="1" ht="12" customHeight="1">
      <c r="A40" s="281" t="s">
        <v>659</v>
      </c>
      <c r="I40" s="282"/>
      <c r="J40" s="283"/>
      <c r="L40" s="284"/>
      <c r="M40" s="285" t="s">
        <v>18</v>
      </c>
    </row>
    <row r="41" spans="1:13" s="84" customFormat="1" ht="12" customHeight="1">
      <c r="A41" s="442" t="s">
        <v>19</v>
      </c>
      <c r="B41" s="442"/>
      <c r="C41" s="442"/>
      <c r="D41" s="442"/>
      <c r="E41" s="442"/>
      <c r="F41" s="442"/>
      <c r="G41" s="442"/>
      <c r="H41" s="442"/>
      <c r="I41" s="442"/>
      <c r="J41" s="442"/>
      <c r="K41" s="442"/>
      <c r="L41" s="442"/>
      <c r="M41" s="442"/>
    </row>
    <row r="42" spans="1:13" s="84" customFormat="1" ht="12" customHeight="1">
      <c r="A42" s="281" t="s">
        <v>663</v>
      </c>
      <c r="C42" s="286" t="s">
        <v>664</v>
      </c>
      <c r="I42" s="282"/>
      <c r="J42" s="283"/>
      <c r="K42" s="287"/>
      <c r="L42" s="282"/>
      <c r="M42" s="288" t="str">
        <f>$M$3</f>
        <v>Date: 10/1/2007</v>
      </c>
    </row>
    <row r="43" spans="1:13" s="84" customFormat="1" ht="12" customHeight="1">
      <c r="A43" s="289" t="s">
        <v>1</v>
      </c>
      <c r="B43" s="289" t="s">
        <v>1</v>
      </c>
      <c r="C43" s="289" t="s">
        <v>1</v>
      </c>
      <c r="D43" s="289" t="s">
        <v>1</v>
      </c>
      <c r="E43" s="289" t="s">
        <v>1</v>
      </c>
      <c r="F43" s="289" t="s">
        <v>1</v>
      </c>
      <c r="G43" s="289"/>
      <c r="H43" s="289"/>
      <c r="I43" s="290" t="s">
        <v>1</v>
      </c>
      <c r="J43" s="291" t="s">
        <v>1</v>
      </c>
      <c r="K43" s="289" t="s">
        <v>1</v>
      </c>
      <c r="L43" s="290" t="s">
        <v>1</v>
      </c>
      <c r="M43" s="291" t="s">
        <v>1</v>
      </c>
    </row>
    <row r="44" spans="1:13" s="84" customFormat="1" ht="12" customHeight="1">
      <c r="A44" s="292" t="s">
        <v>2</v>
      </c>
      <c r="C44" s="293" t="s">
        <v>3</v>
      </c>
      <c r="E44" s="292" t="s">
        <v>2</v>
      </c>
      <c r="F44" s="294"/>
      <c r="G44" s="294"/>
      <c r="H44" s="294" t="s">
        <v>172</v>
      </c>
      <c r="I44" s="295"/>
      <c r="J44" s="298" t="s">
        <v>280</v>
      </c>
      <c r="K44" s="294"/>
      <c r="L44" s="295"/>
      <c r="M44" s="298" t="s">
        <v>289</v>
      </c>
    </row>
    <row r="45" spans="1:13" s="84" customFormat="1" ht="12" customHeight="1">
      <c r="A45" s="292" t="s">
        <v>4</v>
      </c>
      <c r="C45" s="299" t="s">
        <v>5</v>
      </c>
      <c r="E45" s="292" t="s">
        <v>4</v>
      </c>
      <c r="F45" s="294"/>
      <c r="G45" s="294" t="s">
        <v>21</v>
      </c>
      <c r="H45" s="294" t="s">
        <v>7</v>
      </c>
      <c r="I45" s="295" t="s">
        <v>6</v>
      </c>
      <c r="J45" s="298" t="s">
        <v>7</v>
      </c>
      <c r="K45" s="294"/>
      <c r="L45" s="295" t="s">
        <v>6</v>
      </c>
      <c r="M45" s="298" t="s">
        <v>8</v>
      </c>
    </row>
    <row r="46" spans="1:13" s="84" customFormat="1" ht="12" customHeight="1">
      <c r="A46" s="289" t="s">
        <v>1</v>
      </c>
      <c r="B46" s="289" t="s">
        <v>1</v>
      </c>
      <c r="C46" s="289" t="s">
        <v>1</v>
      </c>
      <c r="D46" s="289" t="s">
        <v>1</v>
      </c>
      <c r="E46" s="289" t="s">
        <v>1</v>
      </c>
      <c r="F46" s="289" t="s">
        <v>1</v>
      </c>
      <c r="G46" s="289"/>
      <c r="H46" s="289"/>
      <c r="I46" s="290" t="s">
        <v>1</v>
      </c>
      <c r="J46" s="290" t="s">
        <v>1</v>
      </c>
      <c r="K46" s="289" t="s">
        <v>1</v>
      </c>
      <c r="L46" s="290" t="s">
        <v>1</v>
      </c>
      <c r="M46" s="291" t="s">
        <v>1</v>
      </c>
    </row>
    <row r="47" spans="1:13" s="84" customFormat="1" ht="12" customHeight="1">
      <c r="A47" s="300">
        <v>1</v>
      </c>
      <c r="C47" s="293" t="s">
        <v>9</v>
      </c>
      <c r="D47" s="301" t="s">
        <v>117</v>
      </c>
      <c r="E47" s="300">
        <v>1</v>
      </c>
      <c r="G47" s="302">
        <f>0</f>
        <v>0</v>
      </c>
      <c r="H47" s="303">
        <f>0</f>
        <v>0</v>
      </c>
      <c r="I47" s="302">
        <f>0</f>
        <v>0</v>
      </c>
      <c r="J47" s="303">
        <f>0</f>
        <v>0</v>
      </c>
      <c r="K47" s="304"/>
      <c r="L47" s="302">
        <v>0</v>
      </c>
      <c r="M47" s="303">
        <v>0</v>
      </c>
    </row>
    <row r="48" spans="1:13" s="84" customFormat="1" ht="12" customHeight="1">
      <c r="A48" s="300">
        <v>2</v>
      </c>
      <c r="C48" s="293" t="s">
        <v>10</v>
      </c>
      <c r="D48" s="301" t="s">
        <v>118</v>
      </c>
      <c r="E48" s="300">
        <v>2</v>
      </c>
      <c r="G48" s="302">
        <f>0</f>
        <v>0</v>
      </c>
      <c r="H48" s="303">
        <f>0</f>
        <v>0</v>
      </c>
      <c r="I48" s="302">
        <f>0</f>
        <v>0</v>
      </c>
      <c r="J48" s="303">
        <f>0</f>
        <v>0</v>
      </c>
      <c r="K48" s="304"/>
      <c r="L48" s="302">
        <v>0</v>
      </c>
      <c r="M48" s="303">
        <v>0</v>
      </c>
    </row>
    <row r="49" spans="1:13" s="84" customFormat="1" ht="12" customHeight="1">
      <c r="A49" s="300">
        <v>3</v>
      </c>
      <c r="C49" s="293" t="s">
        <v>11</v>
      </c>
      <c r="D49" s="301" t="s">
        <v>119</v>
      </c>
      <c r="E49" s="300">
        <v>3</v>
      </c>
      <c r="G49" s="302">
        <f>0</f>
        <v>0</v>
      </c>
      <c r="H49" s="303">
        <f>0</f>
        <v>0</v>
      </c>
      <c r="I49" s="302">
        <f>0</f>
        <v>0</v>
      </c>
      <c r="J49" s="303">
        <f>0</f>
        <v>0</v>
      </c>
      <c r="K49" s="304"/>
      <c r="L49" s="302">
        <v>0</v>
      </c>
      <c r="M49" s="303">
        <v>0</v>
      </c>
    </row>
    <row r="50" spans="1:13" s="84" customFormat="1" ht="12" customHeight="1">
      <c r="A50" s="300">
        <v>4</v>
      </c>
      <c r="C50" s="293" t="s">
        <v>12</v>
      </c>
      <c r="D50" s="301" t="s">
        <v>120</v>
      </c>
      <c r="E50" s="300">
        <v>4</v>
      </c>
      <c r="G50" s="302">
        <f>0</f>
        <v>0</v>
      </c>
      <c r="H50" s="303">
        <f>0</f>
        <v>0</v>
      </c>
      <c r="I50" s="302">
        <f>0</f>
        <v>0</v>
      </c>
      <c r="J50" s="303">
        <f>0</f>
        <v>0</v>
      </c>
      <c r="K50" s="304"/>
      <c r="L50" s="302">
        <v>0</v>
      </c>
      <c r="M50" s="303">
        <v>0</v>
      </c>
    </row>
    <row r="51" spans="1:13" s="84" customFormat="1" ht="12" customHeight="1">
      <c r="A51" s="300">
        <v>5</v>
      </c>
      <c r="C51" s="293" t="s">
        <v>13</v>
      </c>
      <c r="D51" s="301" t="s">
        <v>121</v>
      </c>
      <c r="E51" s="300">
        <v>5</v>
      </c>
      <c r="G51" s="302">
        <f>0</f>
        <v>0</v>
      </c>
      <c r="H51" s="303">
        <f>0</f>
        <v>0</v>
      </c>
      <c r="I51" s="302">
        <f>0</f>
        <v>0</v>
      </c>
      <c r="J51" s="303">
        <f>0</f>
        <v>0</v>
      </c>
      <c r="K51" s="304"/>
      <c r="L51" s="302">
        <v>0</v>
      </c>
      <c r="M51" s="303">
        <v>0</v>
      </c>
    </row>
    <row r="52" spans="1:13" s="84" customFormat="1" ht="12" customHeight="1">
      <c r="A52" s="300">
        <v>6</v>
      </c>
      <c r="C52" s="293" t="s">
        <v>14</v>
      </c>
      <c r="D52" s="301" t="s">
        <v>122</v>
      </c>
      <c r="E52" s="300">
        <v>6</v>
      </c>
      <c r="G52" s="302">
        <f>0</f>
        <v>0</v>
      </c>
      <c r="H52" s="303">
        <f>+H268</f>
        <v>429842</v>
      </c>
      <c r="I52" s="302">
        <f>0</f>
        <v>0</v>
      </c>
      <c r="J52" s="303">
        <f>+J268</f>
        <v>800000</v>
      </c>
      <c r="K52" s="304"/>
      <c r="L52" s="302">
        <v>0</v>
      </c>
      <c r="M52" s="303">
        <v>0</v>
      </c>
    </row>
    <row r="53" spans="1:13" s="84" customFormat="1" ht="12" customHeight="1">
      <c r="A53" s="300">
        <v>7</v>
      </c>
      <c r="C53" s="293" t="s">
        <v>59</v>
      </c>
      <c r="D53" s="301" t="s">
        <v>123</v>
      </c>
      <c r="E53" s="300">
        <v>7</v>
      </c>
      <c r="G53" s="302">
        <f>0</f>
        <v>0</v>
      </c>
      <c r="H53" s="303">
        <f>0</f>
        <v>0</v>
      </c>
      <c r="I53" s="302">
        <f>0</f>
        <v>0</v>
      </c>
      <c r="J53" s="303">
        <v>0</v>
      </c>
      <c r="K53" s="304"/>
      <c r="L53" s="302">
        <v>0</v>
      </c>
      <c r="M53" s="303">
        <v>0</v>
      </c>
    </row>
    <row r="54" spans="1:13" s="84" customFormat="1" ht="12" customHeight="1">
      <c r="A54" s="300">
        <v>8</v>
      </c>
      <c r="C54" s="293" t="s">
        <v>15</v>
      </c>
      <c r="D54" s="301" t="s">
        <v>124</v>
      </c>
      <c r="E54" s="300">
        <v>8</v>
      </c>
      <c r="G54" s="302">
        <f>0</f>
        <v>0</v>
      </c>
      <c r="H54" s="303">
        <f>+H317</f>
        <v>3333</v>
      </c>
      <c r="I54" s="302">
        <f>0</f>
        <v>0</v>
      </c>
      <c r="J54" s="303">
        <f>+J317</f>
        <v>0</v>
      </c>
      <c r="K54" s="304"/>
      <c r="L54" s="302">
        <v>0</v>
      </c>
      <c r="M54" s="303">
        <v>0</v>
      </c>
    </row>
    <row r="55" spans="1:13" s="84" customFormat="1" ht="12" customHeight="1">
      <c r="A55" s="300">
        <v>9</v>
      </c>
      <c r="C55" s="293" t="s">
        <v>101</v>
      </c>
      <c r="D55" s="301" t="s">
        <v>125</v>
      </c>
      <c r="E55" s="300">
        <v>9</v>
      </c>
      <c r="G55" s="302">
        <f>0</f>
        <v>0</v>
      </c>
      <c r="H55" s="303">
        <v>0</v>
      </c>
      <c r="I55" s="302">
        <f>0</f>
        <v>0</v>
      </c>
      <c r="J55" s="303">
        <v>0</v>
      </c>
      <c r="K55" s="304"/>
      <c r="L55" s="302">
        <v>0</v>
      </c>
      <c r="M55" s="303">
        <v>0</v>
      </c>
    </row>
    <row r="56" spans="1:13" s="84" customFormat="1" ht="12" customHeight="1">
      <c r="A56" s="300">
        <v>10</v>
      </c>
      <c r="C56" s="293" t="s">
        <v>16</v>
      </c>
      <c r="D56" s="301" t="s">
        <v>100</v>
      </c>
      <c r="E56" s="300">
        <v>10</v>
      </c>
      <c r="G56" s="302">
        <f>0</f>
        <v>0</v>
      </c>
      <c r="H56" s="303">
        <f>+H365</f>
        <v>11472993.6</v>
      </c>
      <c r="I56" s="302">
        <f>0</f>
        <v>0</v>
      </c>
      <c r="J56" s="303">
        <f>+J365</f>
        <v>26567771.59</v>
      </c>
      <c r="K56" s="304"/>
      <c r="L56" s="302">
        <v>0</v>
      </c>
      <c r="M56" s="303">
        <f>+M365</f>
        <v>13821656</v>
      </c>
    </row>
    <row r="57" spans="1:13" s="84" customFormat="1" ht="12" customHeight="1">
      <c r="A57" s="300"/>
      <c r="C57" s="293"/>
      <c r="D57" s="301"/>
      <c r="E57" s="300"/>
      <c r="F57" s="289" t="s">
        <v>1</v>
      </c>
      <c r="G57" s="289"/>
      <c r="H57" s="305"/>
      <c r="I57" s="290" t="s">
        <v>1</v>
      </c>
      <c r="J57" s="291"/>
      <c r="K57" s="306"/>
      <c r="L57" s="290"/>
      <c r="M57" s="291"/>
    </row>
    <row r="58" spans="1:13" s="84" customFormat="1" ht="12" customHeight="1">
      <c r="A58" s="84">
        <v>11</v>
      </c>
      <c r="C58" s="293" t="s">
        <v>665</v>
      </c>
      <c r="E58" s="84">
        <v>11</v>
      </c>
      <c r="G58" s="302">
        <f>SUM(G47:G56)</f>
        <v>0</v>
      </c>
      <c r="H58" s="303">
        <f>SUM(H47:H56)</f>
        <v>11906168.6</v>
      </c>
      <c r="I58" s="302">
        <f>SUM(I47:I56)</f>
        <v>0</v>
      </c>
      <c r="J58" s="303">
        <f>SUM(J47:J56)</f>
        <v>27367771.59</v>
      </c>
      <c r="K58" s="304"/>
      <c r="L58" s="302">
        <v>0</v>
      </c>
      <c r="M58" s="303">
        <f>SUM(M47:M56)</f>
        <v>13821656</v>
      </c>
    </row>
    <row r="59" spans="1:13" s="84" customFormat="1" ht="12" customHeight="1">
      <c r="A59" s="300"/>
      <c r="E59" s="300"/>
      <c r="F59" s="289" t="s">
        <v>1</v>
      </c>
      <c r="G59" s="289"/>
      <c r="H59" s="289"/>
      <c r="I59" s="290" t="s">
        <v>1</v>
      </c>
      <c r="J59" s="291"/>
      <c r="K59" s="306"/>
      <c r="L59" s="290"/>
      <c r="M59" s="291"/>
    </row>
    <row r="60" spans="1:13" s="84" customFormat="1" ht="12" customHeight="1">
      <c r="A60" s="300"/>
      <c r="E60" s="300"/>
      <c r="F60" s="289"/>
      <c r="G60" s="289"/>
      <c r="H60" s="289"/>
      <c r="I60" s="282"/>
      <c r="J60" s="291"/>
      <c r="K60" s="306"/>
      <c r="L60" s="282"/>
      <c r="M60" s="291"/>
    </row>
    <row r="61" spans="1:13" s="84" customFormat="1" ht="12" customHeight="1">
      <c r="A61" s="84">
        <v>12</v>
      </c>
      <c r="C61" s="293" t="s">
        <v>17</v>
      </c>
      <c r="E61" s="84">
        <v>12</v>
      </c>
      <c r="G61" s="304"/>
      <c r="H61" s="304"/>
      <c r="I61" s="307"/>
      <c r="J61" s="307"/>
      <c r="K61" s="304"/>
      <c r="L61" s="302"/>
      <c r="M61" s="307"/>
    </row>
    <row r="62" spans="1:13" s="84" customFormat="1" ht="12" customHeight="1">
      <c r="A62" s="300">
        <v>13</v>
      </c>
      <c r="C62" s="293" t="s">
        <v>226</v>
      </c>
      <c r="D62" s="301" t="s">
        <v>261</v>
      </c>
      <c r="E62" s="300">
        <v>13</v>
      </c>
      <c r="G62" s="302">
        <v>0</v>
      </c>
      <c r="H62" s="303">
        <f>+H219</f>
        <v>0</v>
      </c>
      <c r="I62" s="302">
        <v>0</v>
      </c>
      <c r="J62" s="303">
        <f aca="true" t="shared" si="0" ref="J62:J69">+J219</f>
        <v>0</v>
      </c>
      <c r="K62" s="304"/>
      <c r="L62" s="302">
        <v>0</v>
      </c>
      <c r="M62" s="303">
        <f>+M219</f>
        <v>0</v>
      </c>
    </row>
    <row r="63" spans="1:13" s="84" customFormat="1" ht="12" customHeight="1">
      <c r="A63" s="300">
        <v>14</v>
      </c>
      <c r="C63" s="293" t="s">
        <v>227</v>
      </c>
      <c r="D63" s="301" t="s">
        <v>262</v>
      </c>
      <c r="E63" s="300">
        <v>14</v>
      </c>
      <c r="G63" s="302">
        <v>0</v>
      </c>
      <c r="H63" s="303">
        <v>0</v>
      </c>
      <c r="I63" s="302">
        <v>0</v>
      </c>
      <c r="J63" s="303">
        <f t="shared" si="0"/>
        <v>0</v>
      </c>
      <c r="K63" s="304"/>
      <c r="L63" s="302">
        <v>0</v>
      </c>
      <c r="M63" s="303">
        <v>0</v>
      </c>
    </row>
    <row r="64" spans="1:13" s="84" customFormat="1" ht="12" customHeight="1">
      <c r="A64" s="300">
        <v>15</v>
      </c>
      <c r="C64" s="293" t="s">
        <v>256</v>
      </c>
      <c r="D64" s="301"/>
      <c r="E64" s="300">
        <v>15</v>
      </c>
      <c r="G64" s="302"/>
      <c r="H64" s="303">
        <v>0</v>
      </c>
      <c r="I64" s="302">
        <v>0</v>
      </c>
      <c r="J64" s="303">
        <f t="shared" si="0"/>
        <v>0</v>
      </c>
      <c r="K64" s="304"/>
      <c r="L64" s="302">
        <v>0</v>
      </c>
      <c r="M64" s="303">
        <v>0</v>
      </c>
    </row>
    <row r="65" spans="1:13" s="84" customFormat="1" ht="12" customHeight="1">
      <c r="A65" s="300">
        <v>16</v>
      </c>
      <c r="C65" s="293" t="s">
        <v>255</v>
      </c>
      <c r="D65" s="301"/>
      <c r="E65" s="300">
        <v>16</v>
      </c>
      <c r="G65" s="302">
        <v>0</v>
      </c>
      <c r="H65" s="303">
        <v>0</v>
      </c>
      <c r="I65" s="302">
        <v>0</v>
      </c>
      <c r="J65" s="303">
        <f t="shared" si="0"/>
        <v>0</v>
      </c>
      <c r="K65" s="304"/>
      <c r="L65" s="302">
        <v>0</v>
      </c>
      <c r="M65" s="303">
        <v>0</v>
      </c>
    </row>
    <row r="66" spans="1:256" s="84" customFormat="1" ht="12" customHeight="1">
      <c r="A66" s="301">
        <v>17</v>
      </c>
      <c r="B66" s="301"/>
      <c r="C66" s="308" t="s">
        <v>257</v>
      </c>
      <c r="D66" s="301" t="s">
        <v>278</v>
      </c>
      <c r="E66" s="301">
        <v>17</v>
      </c>
      <c r="F66" s="301"/>
      <c r="G66" s="302">
        <f>SUM(G64:G65)</f>
        <v>0</v>
      </c>
      <c r="H66" s="303">
        <v>0</v>
      </c>
      <c r="I66" s="302">
        <v>0</v>
      </c>
      <c r="J66" s="303">
        <f t="shared" si="0"/>
        <v>0</v>
      </c>
      <c r="K66" s="308"/>
      <c r="L66" s="302">
        <v>0</v>
      </c>
      <c r="M66" s="303">
        <v>0</v>
      </c>
      <c r="N66" s="301"/>
      <c r="O66" s="308"/>
      <c r="P66" s="301"/>
      <c r="Q66" s="308"/>
      <c r="R66" s="301"/>
      <c r="S66" s="308"/>
      <c r="T66" s="301"/>
      <c r="U66" s="308"/>
      <c r="V66" s="301"/>
      <c r="W66" s="308"/>
      <c r="X66" s="301"/>
      <c r="Y66" s="308"/>
      <c r="Z66" s="301"/>
      <c r="AA66" s="308"/>
      <c r="AB66" s="301"/>
      <c r="AC66" s="308"/>
      <c r="AD66" s="301"/>
      <c r="AE66" s="308"/>
      <c r="AF66" s="301"/>
      <c r="AG66" s="308"/>
      <c r="AH66" s="301"/>
      <c r="AI66" s="308"/>
      <c r="AJ66" s="301"/>
      <c r="AK66" s="308"/>
      <c r="AL66" s="301"/>
      <c r="AM66" s="308"/>
      <c r="AN66" s="301"/>
      <c r="AO66" s="308"/>
      <c r="AP66" s="301"/>
      <c r="AQ66" s="308"/>
      <c r="AR66" s="301"/>
      <c r="AS66" s="308"/>
      <c r="AT66" s="301"/>
      <c r="AU66" s="308"/>
      <c r="AV66" s="301"/>
      <c r="AW66" s="308"/>
      <c r="AX66" s="301"/>
      <c r="AY66" s="308"/>
      <c r="AZ66" s="301"/>
      <c r="BA66" s="308"/>
      <c r="BB66" s="301"/>
      <c r="BC66" s="308"/>
      <c r="BD66" s="301"/>
      <c r="BE66" s="308"/>
      <c r="BF66" s="301"/>
      <c r="BG66" s="308"/>
      <c r="BH66" s="301"/>
      <c r="BI66" s="308"/>
      <c r="BJ66" s="301"/>
      <c r="BK66" s="308"/>
      <c r="BL66" s="301"/>
      <c r="BM66" s="308"/>
      <c r="BN66" s="301"/>
      <c r="BO66" s="308"/>
      <c r="BP66" s="301"/>
      <c r="BQ66" s="308"/>
      <c r="BR66" s="301"/>
      <c r="BS66" s="308"/>
      <c r="BT66" s="301"/>
      <c r="BU66" s="308"/>
      <c r="BV66" s="301"/>
      <c r="BW66" s="308"/>
      <c r="BX66" s="301"/>
      <c r="BY66" s="308"/>
      <c r="BZ66" s="301"/>
      <c r="CA66" s="308"/>
      <c r="CB66" s="301"/>
      <c r="CC66" s="308"/>
      <c r="CD66" s="301"/>
      <c r="CE66" s="308"/>
      <c r="CF66" s="301"/>
      <c r="CG66" s="308"/>
      <c r="CH66" s="301"/>
      <c r="CI66" s="308"/>
      <c r="CJ66" s="301"/>
      <c r="CK66" s="308"/>
      <c r="CL66" s="301"/>
      <c r="CM66" s="308"/>
      <c r="CN66" s="301"/>
      <c r="CO66" s="308"/>
      <c r="CP66" s="301"/>
      <c r="CQ66" s="308"/>
      <c r="CR66" s="301"/>
      <c r="CS66" s="308"/>
      <c r="CT66" s="301"/>
      <c r="CU66" s="308"/>
      <c r="CV66" s="301"/>
      <c r="CW66" s="308"/>
      <c r="CX66" s="301"/>
      <c r="CY66" s="308"/>
      <c r="CZ66" s="301"/>
      <c r="DA66" s="308"/>
      <c r="DB66" s="301"/>
      <c r="DC66" s="308"/>
      <c r="DD66" s="301"/>
      <c r="DE66" s="308"/>
      <c r="DF66" s="301"/>
      <c r="DG66" s="308"/>
      <c r="DH66" s="301"/>
      <c r="DI66" s="308"/>
      <c r="DJ66" s="301"/>
      <c r="DK66" s="308"/>
      <c r="DL66" s="301"/>
      <c r="DM66" s="308"/>
      <c r="DN66" s="301"/>
      <c r="DO66" s="308"/>
      <c r="DP66" s="301"/>
      <c r="DQ66" s="308"/>
      <c r="DR66" s="301"/>
      <c r="DS66" s="308"/>
      <c r="DT66" s="301"/>
      <c r="DU66" s="308"/>
      <c r="DV66" s="301"/>
      <c r="DW66" s="308"/>
      <c r="DX66" s="301"/>
      <c r="DY66" s="308"/>
      <c r="DZ66" s="301"/>
      <c r="EA66" s="308"/>
      <c r="EB66" s="301"/>
      <c r="EC66" s="308"/>
      <c r="ED66" s="301"/>
      <c r="EE66" s="308"/>
      <c r="EF66" s="301"/>
      <c r="EG66" s="308"/>
      <c r="EH66" s="301"/>
      <c r="EI66" s="308"/>
      <c r="EJ66" s="301"/>
      <c r="EK66" s="308"/>
      <c r="EL66" s="301"/>
      <c r="EM66" s="308"/>
      <c r="EN66" s="301"/>
      <c r="EO66" s="308"/>
      <c r="EP66" s="301"/>
      <c r="EQ66" s="308"/>
      <c r="ER66" s="301"/>
      <c r="ES66" s="308"/>
      <c r="ET66" s="301"/>
      <c r="EU66" s="308"/>
      <c r="EV66" s="301"/>
      <c r="EW66" s="308"/>
      <c r="EX66" s="301"/>
      <c r="EY66" s="308"/>
      <c r="EZ66" s="301"/>
      <c r="FA66" s="308"/>
      <c r="FB66" s="301"/>
      <c r="FC66" s="308"/>
      <c r="FD66" s="301"/>
      <c r="FE66" s="308"/>
      <c r="FF66" s="301"/>
      <c r="FG66" s="308"/>
      <c r="FH66" s="301"/>
      <c r="FI66" s="308"/>
      <c r="FJ66" s="301"/>
      <c r="FK66" s="308"/>
      <c r="FL66" s="301"/>
      <c r="FM66" s="308"/>
      <c r="FN66" s="301"/>
      <c r="FO66" s="308"/>
      <c r="FP66" s="301"/>
      <c r="FQ66" s="308"/>
      <c r="FR66" s="301"/>
      <c r="FS66" s="308"/>
      <c r="FT66" s="301"/>
      <c r="FU66" s="308"/>
      <c r="FV66" s="301"/>
      <c r="FW66" s="308"/>
      <c r="FX66" s="301"/>
      <c r="FY66" s="308"/>
      <c r="FZ66" s="301"/>
      <c r="GA66" s="308"/>
      <c r="GB66" s="301"/>
      <c r="GC66" s="308"/>
      <c r="GD66" s="301"/>
      <c r="GE66" s="308"/>
      <c r="GF66" s="301"/>
      <c r="GG66" s="308"/>
      <c r="GH66" s="301"/>
      <c r="GI66" s="308"/>
      <c r="GJ66" s="301"/>
      <c r="GK66" s="308"/>
      <c r="GL66" s="301"/>
      <c r="GM66" s="308"/>
      <c r="GN66" s="301"/>
      <c r="GO66" s="308"/>
      <c r="GP66" s="301"/>
      <c r="GQ66" s="308"/>
      <c r="GR66" s="301"/>
      <c r="GS66" s="308"/>
      <c r="GT66" s="301"/>
      <c r="GU66" s="308"/>
      <c r="GV66" s="301"/>
      <c r="GW66" s="308"/>
      <c r="GX66" s="301"/>
      <c r="GY66" s="308"/>
      <c r="GZ66" s="301"/>
      <c r="HA66" s="308"/>
      <c r="HB66" s="301"/>
      <c r="HC66" s="308"/>
      <c r="HD66" s="301"/>
      <c r="HE66" s="308"/>
      <c r="HF66" s="301"/>
      <c r="HG66" s="308"/>
      <c r="HH66" s="301"/>
      <c r="HI66" s="308"/>
      <c r="HJ66" s="301"/>
      <c r="HK66" s="308"/>
      <c r="HL66" s="301"/>
      <c r="HM66" s="308"/>
      <c r="HN66" s="301"/>
      <c r="HO66" s="308"/>
      <c r="HP66" s="301"/>
      <c r="HQ66" s="308"/>
      <c r="HR66" s="301"/>
      <c r="HS66" s="308"/>
      <c r="HT66" s="301"/>
      <c r="HU66" s="308"/>
      <c r="HV66" s="301"/>
      <c r="HW66" s="308"/>
      <c r="HX66" s="301"/>
      <c r="HY66" s="308"/>
      <c r="HZ66" s="301"/>
      <c r="IA66" s="308"/>
      <c r="IB66" s="301"/>
      <c r="IC66" s="308"/>
      <c r="ID66" s="301"/>
      <c r="IE66" s="308"/>
      <c r="IF66" s="301"/>
      <c r="IG66" s="308"/>
      <c r="IH66" s="301"/>
      <c r="II66" s="308"/>
      <c r="IJ66" s="301"/>
      <c r="IK66" s="308"/>
      <c r="IL66" s="301"/>
      <c r="IM66" s="308"/>
      <c r="IN66" s="301"/>
      <c r="IO66" s="308"/>
      <c r="IP66" s="301"/>
      <c r="IQ66" s="308"/>
      <c r="IR66" s="301"/>
      <c r="IS66" s="308"/>
      <c r="IT66" s="301"/>
      <c r="IU66" s="308"/>
      <c r="IV66" s="301"/>
    </row>
    <row r="67" spans="1:13" s="84" customFormat="1" ht="12" customHeight="1">
      <c r="A67" s="300">
        <v>18</v>
      </c>
      <c r="C67" s="293" t="s">
        <v>258</v>
      </c>
      <c r="D67" s="301" t="s">
        <v>278</v>
      </c>
      <c r="E67" s="300">
        <v>18</v>
      </c>
      <c r="G67" s="302">
        <v>0</v>
      </c>
      <c r="H67" s="303">
        <v>0</v>
      </c>
      <c r="I67" s="302">
        <v>0</v>
      </c>
      <c r="J67" s="303">
        <f t="shared" si="0"/>
        <v>0</v>
      </c>
      <c r="K67" s="304"/>
      <c r="L67" s="302">
        <v>0</v>
      </c>
      <c r="M67" s="303">
        <v>0</v>
      </c>
    </row>
    <row r="68" spans="1:13" s="84" customFormat="1" ht="12" customHeight="1">
      <c r="A68" s="300">
        <v>19</v>
      </c>
      <c r="C68" s="293" t="s">
        <v>195</v>
      </c>
      <c r="D68" s="301" t="s">
        <v>278</v>
      </c>
      <c r="E68" s="300">
        <v>19</v>
      </c>
      <c r="G68" s="302">
        <v>0</v>
      </c>
      <c r="H68" s="303">
        <v>0</v>
      </c>
      <c r="I68" s="302">
        <v>0</v>
      </c>
      <c r="J68" s="303">
        <f t="shared" si="0"/>
        <v>0</v>
      </c>
      <c r="K68" s="304"/>
      <c r="L68" s="302">
        <v>0</v>
      </c>
      <c r="M68" s="303">
        <v>0</v>
      </c>
    </row>
    <row r="69" spans="1:13" s="84" customFormat="1" ht="12" customHeight="1">
      <c r="A69" s="300">
        <v>20</v>
      </c>
      <c r="C69" s="293" t="s">
        <v>173</v>
      </c>
      <c r="D69" s="301" t="s">
        <v>278</v>
      </c>
      <c r="E69" s="300">
        <v>20</v>
      </c>
      <c r="G69" s="302">
        <v>0</v>
      </c>
      <c r="H69" s="303">
        <f>H66+H67+H68</f>
        <v>0</v>
      </c>
      <c r="I69" s="302">
        <v>0</v>
      </c>
      <c r="J69" s="303">
        <f t="shared" si="0"/>
        <v>0</v>
      </c>
      <c r="K69" s="304"/>
      <c r="L69" s="302">
        <v>0</v>
      </c>
      <c r="M69" s="303">
        <f>M66+M67+M68</f>
        <v>0</v>
      </c>
    </row>
    <row r="70" spans="1:13" s="84" customFormat="1" ht="12" customHeight="1">
      <c r="A70" s="300">
        <v>21</v>
      </c>
      <c r="C70" s="293" t="s">
        <v>248</v>
      </c>
      <c r="D70" s="301" t="s">
        <v>277</v>
      </c>
      <c r="E70" s="300">
        <v>21</v>
      </c>
      <c r="G70" s="302">
        <v>0</v>
      </c>
      <c r="H70" s="303">
        <f>+H122</f>
        <v>5044038</v>
      </c>
      <c r="I70" s="302">
        <v>0</v>
      </c>
      <c r="J70" s="303">
        <f>+J122</f>
        <v>12983437</v>
      </c>
      <c r="K70" s="304"/>
      <c r="L70" s="302">
        <v>0</v>
      </c>
      <c r="M70" s="303">
        <f>+M122</f>
        <v>13821656</v>
      </c>
    </row>
    <row r="71" spans="1:13" s="84" customFormat="1" ht="12" customHeight="1">
      <c r="A71" s="300">
        <v>22</v>
      </c>
      <c r="C71" s="309"/>
      <c r="E71" s="300">
        <v>22</v>
      </c>
      <c r="F71" s="289" t="s">
        <v>1</v>
      </c>
      <c r="G71" s="289"/>
      <c r="H71" s="289"/>
      <c r="I71" s="290"/>
      <c r="J71" s="291"/>
      <c r="K71" s="306"/>
      <c r="L71" s="290"/>
      <c r="M71" s="291"/>
    </row>
    <row r="72" spans="1:13" s="84" customFormat="1" ht="12" customHeight="1">
      <c r="A72" s="300">
        <v>23</v>
      </c>
      <c r="C72" s="84" t="s">
        <v>199</v>
      </c>
      <c r="D72" s="310"/>
      <c r="E72" s="300">
        <v>23</v>
      </c>
      <c r="F72" s="311"/>
      <c r="G72" s="302"/>
      <c r="H72" s="303">
        <f>SUM(H62,H63,H69,H70)</f>
        <v>5044038</v>
      </c>
      <c r="I72" s="302"/>
      <c r="J72" s="303">
        <f>SUM(J62,J63,J69,J70)</f>
        <v>12983437</v>
      </c>
      <c r="K72" s="312"/>
      <c r="L72" s="302"/>
      <c r="M72" s="303">
        <f>SUM(M62,M63,M69,M70)</f>
        <v>13821656</v>
      </c>
    </row>
    <row r="73" spans="1:13" s="84" customFormat="1" ht="12" customHeight="1">
      <c r="A73" s="300">
        <v>24</v>
      </c>
      <c r="C73" s="309"/>
      <c r="D73" s="293"/>
      <c r="E73" s="300">
        <v>24</v>
      </c>
      <c r="H73" s="303"/>
      <c r="I73" s="284"/>
      <c r="J73" s="283"/>
      <c r="L73" s="284"/>
      <c r="M73" s="283"/>
    </row>
    <row r="74" spans="1:13" s="84" customFormat="1" ht="12" customHeight="1">
      <c r="A74" s="300">
        <v>25</v>
      </c>
      <c r="C74" s="293" t="s">
        <v>219</v>
      </c>
      <c r="D74" s="301" t="s">
        <v>279</v>
      </c>
      <c r="E74" s="300">
        <v>25</v>
      </c>
      <c r="G74" s="302"/>
      <c r="H74" s="303">
        <f>+H171</f>
        <v>6883889</v>
      </c>
      <c r="I74" s="302"/>
      <c r="J74" s="303">
        <f>+J171</f>
        <v>8170851</v>
      </c>
      <c r="K74" s="304"/>
      <c r="L74" s="302"/>
      <c r="M74" s="303">
        <f>+M171</f>
        <v>0</v>
      </c>
    </row>
    <row r="75" spans="1:13" s="84" customFormat="1" ht="12" customHeight="1">
      <c r="A75" s="84">
        <v>26</v>
      </c>
      <c r="E75" s="84">
        <v>26</v>
      </c>
      <c r="F75" s="289" t="s">
        <v>1</v>
      </c>
      <c r="G75" s="289"/>
      <c r="H75" s="289"/>
      <c r="I75" s="290"/>
      <c r="J75" s="291"/>
      <c r="K75" s="306"/>
      <c r="L75" s="290"/>
      <c r="M75" s="291"/>
    </row>
    <row r="76" spans="1:13" s="84" customFormat="1" ht="12" customHeight="1">
      <c r="A76" s="300">
        <v>27</v>
      </c>
      <c r="C76" s="293" t="s">
        <v>666</v>
      </c>
      <c r="E76" s="300">
        <v>27</v>
      </c>
      <c r="F76" s="287"/>
      <c r="G76" s="302"/>
      <c r="H76" s="303">
        <f>SUM(H72,H74)</f>
        <v>11927927</v>
      </c>
      <c r="I76" s="302"/>
      <c r="J76" s="303">
        <f>SUM(J72,J74)</f>
        <v>21154288</v>
      </c>
      <c r="K76" s="307"/>
      <c r="L76" s="302"/>
      <c r="M76" s="303">
        <f>SUM(M72,M74)</f>
        <v>13821656</v>
      </c>
    </row>
    <row r="77" spans="1:13" s="84" customFormat="1" ht="12" customHeight="1">
      <c r="A77" s="300"/>
      <c r="C77" s="293"/>
      <c r="E77" s="300"/>
      <c r="F77" s="287"/>
      <c r="G77" s="307"/>
      <c r="H77" s="304"/>
      <c r="I77" s="307"/>
      <c r="J77" s="307"/>
      <c r="K77" s="307"/>
      <c r="L77" s="307"/>
      <c r="M77" s="307"/>
    </row>
    <row r="78" spans="3:13" s="84" customFormat="1" ht="12" customHeight="1">
      <c r="C78" s="84" t="s">
        <v>102</v>
      </c>
      <c r="D78" s="301"/>
      <c r="F78" s="289"/>
      <c r="G78" s="289"/>
      <c r="H78" s="421">
        <v>0</v>
      </c>
      <c r="I78" s="290"/>
      <c r="J78" s="283"/>
      <c r="K78" s="306"/>
      <c r="L78" s="290"/>
      <c r="M78" s="291"/>
    </row>
    <row r="79" spans="4:13" s="84" customFormat="1" ht="12" customHeight="1">
      <c r="D79" s="301"/>
      <c r="F79" s="289"/>
      <c r="G79" s="289"/>
      <c r="H79" s="289"/>
      <c r="I79" s="290"/>
      <c r="J79" s="283"/>
      <c r="K79" s="306"/>
      <c r="L79" s="290"/>
      <c r="M79" s="291"/>
    </row>
    <row r="80" spans="4:13" s="84" customFormat="1" ht="12" customHeight="1">
      <c r="D80" s="301"/>
      <c r="F80" s="289"/>
      <c r="G80" s="289"/>
      <c r="H80" s="289"/>
      <c r="I80" s="290"/>
      <c r="J80" s="283"/>
      <c r="K80" s="306"/>
      <c r="L80" s="290"/>
      <c r="M80" s="291"/>
    </row>
    <row r="81" spans="5:13" s="84" customFormat="1" ht="12" customHeight="1">
      <c r="E81" s="313"/>
      <c r="I81" s="284"/>
      <c r="J81" s="283"/>
      <c r="L81" s="284"/>
      <c r="M81" s="283"/>
    </row>
    <row r="82" spans="9:13" s="84" customFormat="1" ht="12" customHeight="1">
      <c r="I82" s="284"/>
      <c r="J82" s="283"/>
      <c r="L82" s="284"/>
      <c r="M82" s="283"/>
    </row>
    <row r="83" spans="1:13" s="286" customFormat="1" ht="12" customHeight="1">
      <c r="A83" s="84"/>
      <c r="B83" s="84"/>
      <c r="C83" s="84"/>
      <c r="D83" s="84"/>
      <c r="E83" s="313"/>
      <c r="F83" s="84"/>
      <c r="G83" s="84"/>
      <c r="H83" s="84"/>
      <c r="I83" s="284"/>
      <c r="J83" s="283"/>
      <c r="K83" s="84"/>
      <c r="L83" s="284"/>
      <c r="M83" s="283"/>
    </row>
    <row r="84" spans="5:13" s="84" customFormat="1" ht="12" customHeight="1">
      <c r="E84" s="313"/>
      <c r="I84" s="284"/>
      <c r="J84" s="283"/>
      <c r="L84" s="284"/>
      <c r="M84" s="283"/>
    </row>
    <row r="85" spans="5:13" s="84" customFormat="1" ht="12" customHeight="1">
      <c r="E85" s="313"/>
      <c r="I85" s="284"/>
      <c r="J85" s="283"/>
      <c r="L85" s="284"/>
      <c r="M85" s="283"/>
    </row>
    <row r="86" spans="5:13" s="84" customFormat="1" ht="12" customHeight="1">
      <c r="E86" s="313"/>
      <c r="I86" s="284"/>
      <c r="J86" s="283"/>
      <c r="L86" s="284"/>
      <c r="M86" s="283"/>
    </row>
    <row r="87" spans="5:13" s="84" customFormat="1" ht="12" customHeight="1">
      <c r="E87" s="313"/>
      <c r="I87" s="284"/>
      <c r="J87" s="283"/>
      <c r="L87" s="284"/>
      <c r="M87" s="283"/>
    </row>
    <row r="88" spans="5:13" s="84" customFormat="1" ht="12" customHeight="1">
      <c r="E88" s="313"/>
      <c r="I88" s="284"/>
      <c r="J88" s="283"/>
      <c r="L88" s="284"/>
      <c r="M88" s="283"/>
    </row>
    <row r="89" spans="1:13" s="84" customFormat="1" ht="12" customHeight="1">
      <c r="A89" s="281" t="str">
        <f>$A$40</f>
        <v>Institution No.:  GFA</v>
      </c>
      <c r="B89" s="286"/>
      <c r="C89" s="286"/>
      <c r="D89" s="286"/>
      <c r="E89" s="314"/>
      <c r="F89" s="286"/>
      <c r="G89" s="286"/>
      <c r="H89" s="286"/>
      <c r="I89" s="315"/>
      <c r="J89" s="316"/>
      <c r="K89" s="286"/>
      <c r="L89" s="315"/>
      <c r="M89" s="285" t="s">
        <v>78</v>
      </c>
    </row>
    <row r="90" spans="1:13" s="84" customFormat="1" ht="12" customHeight="1">
      <c r="A90" s="286"/>
      <c r="B90" s="286"/>
      <c r="C90" s="286"/>
      <c r="D90" s="317" t="s">
        <v>79</v>
      </c>
      <c r="E90" s="314"/>
      <c r="F90" s="286"/>
      <c r="G90" s="286"/>
      <c r="H90" s="286"/>
      <c r="I90" s="315"/>
      <c r="J90" s="316"/>
      <c r="K90" s="286"/>
      <c r="L90" s="315"/>
      <c r="M90" s="316"/>
    </row>
    <row r="91" spans="1:13" s="84" customFormat="1" ht="12" customHeight="1">
      <c r="A91" s="281" t="s">
        <v>663</v>
      </c>
      <c r="C91" s="286" t="s">
        <v>664</v>
      </c>
      <c r="F91" s="318"/>
      <c r="G91" s="318"/>
      <c r="H91" s="318"/>
      <c r="I91" s="319"/>
      <c r="J91" s="320"/>
      <c r="L91" s="282"/>
      <c r="M91" s="288" t="str">
        <f>$M$3</f>
        <v>Date: 10/1/2007</v>
      </c>
    </row>
    <row r="92" spans="1:13" s="84" customFormat="1" ht="12" customHeight="1">
      <c r="A92" s="289" t="s">
        <v>1</v>
      </c>
      <c r="B92" s="289" t="s">
        <v>1</v>
      </c>
      <c r="C92" s="289" t="s">
        <v>1</v>
      </c>
      <c r="D92" s="289" t="s">
        <v>1</v>
      </c>
      <c r="E92" s="289" t="s">
        <v>1</v>
      </c>
      <c r="F92" s="289" t="s">
        <v>1</v>
      </c>
      <c r="G92" s="289"/>
      <c r="H92" s="289"/>
      <c r="I92" s="290" t="s">
        <v>1</v>
      </c>
      <c r="J92" s="291" t="s">
        <v>1</v>
      </c>
      <c r="K92" s="289" t="s">
        <v>1</v>
      </c>
      <c r="L92" s="290" t="s">
        <v>1</v>
      </c>
      <c r="M92" s="291" t="s">
        <v>1</v>
      </c>
    </row>
    <row r="93" spans="1:13" s="84" customFormat="1" ht="12" customHeight="1">
      <c r="A93" s="292" t="s">
        <v>2</v>
      </c>
      <c r="E93" s="292" t="s">
        <v>2</v>
      </c>
      <c r="H93" s="294" t="s">
        <v>172</v>
      </c>
      <c r="I93" s="295"/>
      <c r="J93" s="298" t="s">
        <v>280</v>
      </c>
      <c r="K93" s="294"/>
      <c r="L93" s="295"/>
      <c r="M93" s="298" t="s">
        <v>289</v>
      </c>
    </row>
    <row r="94" spans="1:13" s="84" customFormat="1" ht="12" customHeight="1">
      <c r="A94" s="292" t="s">
        <v>4</v>
      </c>
      <c r="C94" s="299" t="s">
        <v>20</v>
      </c>
      <c r="E94" s="292" t="s">
        <v>4</v>
      </c>
      <c r="H94" s="298" t="s">
        <v>7</v>
      </c>
      <c r="I94" s="282"/>
      <c r="J94" s="298" t="s">
        <v>7</v>
      </c>
      <c r="L94" s="282"/>
      <c r="M94" s="298" t="s">
        <v>8</v>
      </c>
    </row>
    <row r="95" spans="1:13" s="84" customFormat="1" ht="12" customHeight="1">
      <c r="A95" s="289" t="s">
        <v>1</v>
      </c>
      <c r="B95" s="289" t="s">
        <v>1</v>
      </c>
      <c r="C95" s="289" t="s">
        <v>1</v>
      </c>
      <c r="D95" s="289" t="s">
        <v>1</v>
      </c>
      <c r="E95" s="289" t="s">
        <v>1</v>
      </c>
      <c r="F95" s="289" t="s">
        <v>1</v>
      </c>
      <c r="G95" s="289"/>
      <c r="H95" s="289"/>
      <c r="I95" s="290" t="s">
        <v>1</v>
      </c>
      <c r="J95" s="291" t="s">
        <v>1</v>
      </c>
      <c r="K95" s="289" t="s">
        <v>1</v>
      </c>
      <c r="L95" s="290" t="s">
        <v>1</v>
      </c>
      <c r="M95" s="291" t="s">
        <v>1</v>
      </c>
    </row>
    <row r="96" spans="1:13" s="84" customFormat="1" ht="12" customHeight="1">
      <c r="A96" s="321">
        <v>1</v>
      </c>
      <c r="C96" s="293" t="s">
        <v>94</v>
      </c>
      <c r="E96" s="321">
        <v>1</v>
      </c>
      <c r="I96" s="282"/>
      <c r="J96" s="322"/>
      <c r="L96" s="282"/>
      <c r="M96" s="322"/>
    </row>
    <row r="97" spans="1:13" s="84" customFormat="1" ht="12" customHeight="1">
      <c r="A97" s="321"/>
      <c r="C97" s="293"/>
      <c r="E97" s="321"/>
      <c r="I97" s="282"/>
      <c r="J97" s="322"/>
      <c r="L97" s="282"/>
      <c r="M97" s="322"/>
    </row>
    <row r="98" spans="1:13" s="84" customFormat="1" ht="12" customHeight="1">
      <c r="A98" s="321">
        <f>(A96+1)</f>
        <v>2</v>
      </c>
      <c r="C98" s="293" t="s">
        <v>80</v>
      </c>
      <c r="E98" s="321">
        <f>(E96+1)</f>
        <v>2</v>
      </c>
      <c r="F98" s="323"/>
      <c r="G98" s="323"/>
      <c r="H98" s="324"/>
      <c r="I98" s="324"/>
      <c r="J98" s="324"/>
      <c r="K98" s="324"/>
      <c r="L98" s="324"/>
      <c r="M98" s="324"/>
    </row>
    <row r="99" spans="1:13" s="84" customFormat="1" ht="12" customHeight="1">
      <c r="A99" s="321">
        <f aca="true" t="shared" si="1" ref="A99:A104">(A98+1)</f>
        <v>3</v>
      </c>
      <c r="C99" s="293" t="s">
        <v>249</v>
      </c>
      <c r="E99" s="321">
        <f aca="true" t="shared" si="2" ref="E99:E104">(E98+1)</f>
        <v>3</v>
      </c>
      <c r="F99" s="323"/>
      <c r="G99" s="323"/>
      <c r="H99" s="324"/>
      <c r="I99" s="324"/>
      <c r="J99" s="324"/>
      <c r="K99" s="324"/>
      <c r="L99" s="324"/>
      <c r="M99" s="324"/>
    </row>
    <row r="100" spans="1:13" s="84" customFormat="1" ht="12" customHeight="1">
      <c r="A100" s="321">
        <f t="shared" si="1"/>
        <v>4</v>
      </c>
      <c r="C100" s="293" t="s">
        <v>250</v>
      </c>
      <c r="E100" s="321">
        <f t="shared" si="2"/>
        <v>4</v>
      </c>
      <c r="F100" s="323"/>
      <c r="G100" s="323"/>
      <c r="H100" s="324"/>
      <c r="I100" s="324"/>
      <c r="J100" s="324">
        <v>0</v>
      </c>
      <c r="K100" s="324"/>
      <c r="L100" s="324"/>
      <c r="M100" s="324">
        <v>0</v>
      </c>
    </row>
    <row r="101" spans="1:13" s="84" customFormat="1" ht="12" customHeight="1">
      <c r="A101" s="321">
        <f t="shared" si="1"/>
        <v>5</v>
      </c>
      <c r="C101" s="84" t="s">
        <v>238</v>
      </c>
      <c r="E101" s="321">
        <f t="shared" si="2"/>
        <v>5</v>
      </c>
      <c r="F101" s="323"/>
      <c r="G101" s="323"/>
      <c r="H101" s="324">
        <v>0</v>
      </c>
      <c r="I101" s="324"/>
      <c r="J101" s="324">
        <v>0</v>
      </c>
      <c r="K101" s="324"/>
      <c r="L101" s="324"/>
      <c r="M101" s="324">
        <v>0</v>
      </c>
    </row>
    <row r="102" spans="1:13" s="84" customFormat="1" ht="12" customHeight="1">
      <c r="A102" s="321">
        <f t="shared" si="1"/>
        <v>6</v>
      </c>
      <c r="C102" s="84" t="s">
        <v>263</v>
      </c>
      <c r="E102" s="321">
        <f t="shared" si="2"/>
        <v>6</v>
      </c>
      <c r="F102" s="323"/>
      <c r="G102" s="323"/>
      <c r="H102" s="325"/>
      <c r="I102" s="325"/>
      <c r="J102" s="325"/>
      <c r="K102" s="325"/>
      <c r="L102" s="325"/>
      <c r="M102" s="325"/>
    </row>
    <row r="103" spans="1:13" s="84" customFormat="1" ht="12" customHeight="1">
      <c r="A103" s="321">
        <f t="shared" si="1"/>
        <v>7</v>
      </c>
      <c r="E103" s="321">
        <f t="shared" si="2"/>
        <v>7</v>
      </c>
      <c r="F103" s="323"/>
      <c r="G103" s="323"/>
      <c r="H103" s="325"/>
      <c r="I103" s="325"/>
      <c r="J103" s="325"/>
      <c r="K103" s="325"/>
      <c r="L103" s="325"/>
      <c r="M103" s="325"/>
    </row>
    <row r="104" spans="1:13" s="84" customFormat="1" ht="12" customHeight="1">
      <c r="A104" s="321">
        <f t="shared" si="1"/>
        <v>8</v>
      </c>
      <c r="E104" s="321">
        <f t="shared" si="2"/>
        <v>8</v>
      </c>
      <c r="F104" s="323"/>
      <c r="G104" s="323"/>
      <c r="H104" s="325"/>
      <c r="I104" s="325"/>
      <c r="J104" s="325"/>
      <c r="K104" s="325"/>
      <c r="L104" s="325"/>
      <c r="M104" s="325"/>
    </row>
    <row r="105" spans="1:13" s="84" customFormat="1" ht="12" customHeight="1">
      <c r="A105" s="321"/>
      <c r="E105" s="321"/>
      <c r="F105" s="326" t="s">
        <v>1</v>
      </c>
      <c r="G105" s="326"/>
      <c r="H105" s="326"/>
      <c r="I105" s="290" t="s">
        <v>1</v>
      </c>
      <c r="J105" s="291"/>
      <c r="K105" s="326"/>
      <c r="L105" s="290"/>
      <c r="M105" s="291"/>
    </row>
    <row r="106" spans="1:13" s="84" customFormat="1" ht="12" customHeight="1">
      <c r="A106" s="321">
        <v>9</v>
      </c>
      <c r="C106" s="84" t="s">
        <v>82</v>
      </c>
      <c r="E106" s="321">
        <v>9</v>
      </c>
      <c r="F106" s="323"/>
      <c r="G106" s="323"/>
      <c r="H106" s="324">
        <f>SUM(H98:H102)</f>
        <v>0</v>
      </c>
      <c r="I106" s="324"/>
      <c r="J106" s="324">
        <f>SUM(J98:J102)</f>
        <v>0</v>
      </c>
      <c r="K106" s="324"/>
      <c r="L106" s="324"/>
      <c r="M106" s="324">
        <f>SUM(M98:M102)</f>
        <v>0</v>
      </c>
    </row>
    <row r="107" spans="1:13" s="84" customFormat="1" ht="12" customHeight="1">
      <c r="A107" s="321"/>
      <c r="E107" s="321"/>
      <c r="F107" s="326" t="s">
        <v>1</v>
      </c>
      <c r="G107" s="326"/>
      <c r="H107" s="326"/>
      <c r="I107" s="290" t="s">
        <v>1</v>
      </c>
      <c r="J107" s="291"/>
      <c r="K107" s="326"/>
      <c r="L107" s="290"/>
      <c r="M107" s="291"/>
    </row>
    <row r="108" spans="1:13" s="84" customFormat="1" ht="12" customHeight="1">
      <c r="A108" s="321">
        <v>10</v>
      </c>
      <c r="C108" s="327" t="s">
        <v>83</v>
      </c>
      <c r="E108" s="321">
        <v>10</v>
      </c>
      <c r="F108" s="323"/>
      <c r="G108" s="323"/>
      <c r="H108" s="328">
        <v>0</v>
      </c>
      <c r="I108" s="328"/>
      <c r="J108" s="328">
        <v>0</v>
      </c>
      <c r="K108" s="328"/>
      <c r="L108" s="328"/>
      <c r="M108" s="328">
        <v>0</v>
      </c>
    </row>
    <row r="109" spans="1:13" s="84" customFormat="1" ht="12" customHeight="1">
      <c r="A109" s="321">
        <v>11</v>
      </c>
      <c r="C109" s="327" t="s">
        <v>241</v>
      </c>
      <c r="E109" s="321">
        <v>11</v>
      </c>
      <c r="H109" s="329">
        <v>13124163</v>
      </c>
      <c r="I109" s="330"/>
      <c r="J109" s="330">
        <v>27244037</v>
      </c>
      <c r="K109" s="329"/>
      <c r="L109" s="330"/>
      <c r="M109" s="330">
        <v>13821656</v>
      </c>
    </row>
    <row r="110" spans="1:13" s="84" customFormat="1" ht="12" customHeight="1">
      <c r="A110" s="321">
        <v>12</v>
      </c>
      <c r="C110" s="327" t="s">
        <v>81</v>
      </c>
      <c r="D110" s="331"/>
      <c r="E110" s="321">
        <v>12</v>
      </c>
      <c r="H110" s="329"/>
      <c r="I110" s="330"/>
      <c r="J110" s="330">
        <v>0</v>
      </c>
      <c r="K110" s="329"/>
      <c r="L110" s="330"/>
      <c r="M110" s="330">
        <v>0</v>
      </c>
    </row>
    <row r="111" spans="1:256" s="84" customFormat="1" ht="12" customHeight="1">
      <c r="A111" s="321">
        <v>13</v>
      </c>
      <c r="E111" s="321">
        <v>13</v>
      </c>
      <c r="I111" s="282"/>
      <c r="J111" s="322"/>
      <c r="L111" s="282"/>
      <c r="M111" s="322"/>
      <c r="N111" s="301"/>
      <c r="O111" s="308"/>
      <c r="P111" s="301"/>
      <c r="Q111" s="308"/>
      <c r="R111" s="301"/>
      <c r="S111" s="308"/>
      <c r="T111" s="301"/>
      <c r="U111" s="308"/>
      <c r="V111" s="301"/>
      <c r="W111" s="308"/>
      <c r="X111" s="301"/>
      <c r="Y111" s="308"/>
      <c r="Z111" s="301"/>
      <c r="AA111" s="308"/>
      <c r="AB111" s="301"/>
      <c r="AC111" s="308"/>
      <c r="AD111" s="301"/>
      <c r="AE111" s="308"/>
      <c r="AF111" s="301"/>
      <c r="AG111" s="308"/>
      <c r="AH111" s="301"/>
      <c r="AI111" s="308"/>
      <c r="AJ111" s="301"/>
      <c r="AK111" s="308"/>
      <c r="AL111" s="301"/>
      <c r="AM111" s="308"/>
      <c r="AN111" s="301"/>
      <c r="AO111" s="308"/>
      <c r="AP111" s="301"/>
      <c r="AQ111" s="308"/>
      <c r="AR111" s="301"/>
      <c r="AS111" s="308"/>
      <c r="AT111" s="301"/>
      <c r="AU111" s="308"/>
      <c r="AV111" s="301"/>
      <c r="AW111" s="308"/>
      <c r="AX111" s="301"/>
      <c r="AY111" s="308"/>
      <c r="AZ111" s="301"/>
      <c r="BA111" s="308"/>
      <c r="BB111" s="301"/>
      <c r="BC111" s="308"/>
      <c r="BD111" s="301"/>
      <c r="BE111" s="308"/>
      <c r="BF111" s="301"/>
      <c r="BG111" s="308"/>
      <c r="BH111" s="301"/>
      <c r="BI111" s="308"/>
      <c r="BJ111" s="301"/>
      <c r="BK111" s="308"/>
      <c r="BL111" s="301"/>
      <c r="BM111" s="308"/>
      <c r="BN111" s="301"/>
      <c r="BO111" s="308"/>
      <c r="BP111" s="301"/>
      <c r="BQ111" s="308"/>
      <c r="BR111" s="301"/>
      <c r="BS111" s="308"/>
      <c r="BT111" s="301"/>
      <c r="BU111" s="308"/>
      <c r="BV111" s="301"/>
      <c r="BW111" s="308"/>
      <c r="BX111" s="301"/>
      <c r="BY111" s="308"/>
      <c r="BZ111" s="301"/>
      <c r="CA111" s="308"/>
      <c r="CB111" s="301"/>
      <c r="CC111" s="308"/>
      <c r="CD111" s="301"/>
      <c r="CE111" s="308"/>
      <c r="CF111" s="301"/>
      <c r="CG111" s="308"/>
      <c r="CH111" s="301"/>
      <c r="CI111" s="308"/>
      <c r="CJ111" s="301"/>
      <c r="CK111" s="308"/>
      <c r="CL111" s="301"/>
      <c r="CM111" s="308"/>
      <c r="CN111" s="301"/>
      <c r="CO111" s="308"/>
      <c r="CP111" s="301"/>
      <c r="CQ111" s="308"/>
      <c r="CR111" s="301"/>
      <c r="CS111" s="308"/>
      <c r="CT111" s="301"/>
      <c r="CU111" s="308"/>
      <c r="CV111" s="301"/>
      <c r="CW111" s="308"/>
      <c r="CX111" s="301"/>
      <c r="CY111" s="308"/>
      <c r="CZ111" s="301"/>
      <c r="DA111" s="308"/>
      <c r="DB111" s="301"/>
      <c r="DC111" s="308"/>
      <c r="DD111" s="301"/>
      <c r="DE111" s="308"/>
      <c r="DF111" s="301"/>
      <c r="DG111" s="308"/>
      <c r="DH111" s="301"/>
      <c r="DI111" s="308"/>
      <c r="DJ111" s="301"/>
      <c r="DK111" s="308"/>
      <c r="DL111" s="301"/>
      <c r="DM111" s="308"/>
      <c r="DN111" s="301"/>
      <c r="DO111" s="308"/>
      <c r="DP111" s="301"/>
      <c r="DQ111" s="308"/>
      <c r="DR111" s="301"/>
      <c r="DS111" s="308"/>
      <c r="DT111" s="301"/>
      <c r="DU111" s="308"/>
      <c r="DV111" s="301"/>
      <c r="DW111" s="308"/>
      <c r="DX111" s="301"/>
      <c r="DY111" s="308"/>
      <c r="DZ111" s="301"/>
      <c r="EA111" s="308"/>
      <c r="EB111" s="301"/>
      <c r="EC111" s="308"/>
      <c r="ED111" s="301"/>
      <c r="EE111" s="308"/>
      <c r="EF111" s="301"/>
      <c r="EG111" s="308"/>
      <c r="EH111" s="301"/>
      <c r="EI111" s="308"/>
      <c r="EJ111" s="301"/>
      <c r="EK111" s="308"/>
      <c r="EL111" s="301"/>
      <c r="EM111" s="308"/>
      <c r="EN111" s="301"/>
      <c r="EO111" s="308"/>
      <c r="EP111" s="301"/>
      <c r="EQ111" s="308"/>
      <c r="ER111" s="301"/>
      <c r="ES111" s="308"/>
      <c r="ET111" s="301"/>
      <c r="EU111" s="308"/>
      <c r="EV111" s="301"/>
      <c r="EW111" s="308"/>
      <c r="EX111" s="301"/>
      <c r="EY111" s="308"/>
      <c r="EZ111" s="301"/>
      <c r="FA111" s="308"/>
      <c r="FB111" s="301"/>
      <c r="FC111" s="308"/>
      <c r="FD111" s="301"/>
      <c r="FE111" s="308"/>
      <c r="FF111" s="301"/>
      <c r="FG111" s="308"/>
      <c r="FH111" s="301"/>
      <c r="FI111" s="308"/>
      <c r="FJ111" s="301"/>
      <c r="FK111" s="308"/>
      <c r="FL111" s="301"/>
      <c r="FM111" s="308"/>
      <c r="FN111" s="301"/>
      <c r="FO111" s="308"/>
      <c r="FP111" s="301"/>
      <c r="FQ111" s="308"/>
      <c r="FR111" s="301"/>
      <c r="FS111" s="308"/>
      <c r="FT111" s="301"/>
      <c r="FU111" s="308"/>
      <c r="FV111" s="301"/>
      <c r="FW111" s="308"/>
      <c r="FX111" s="301"/>
      <c r="FY111" s="308"/>
      <c r="FZ111" s="301"/>
      <c r="GA111" s="308"/>
      <c r="GB111" s="301"/>
      <c r="GC111" s="308"/>
      <c r="GD111" s="301"/>
      <c r="GE111" s="308"/>
      <c r="GF111" s="301"/>
      <c r="GG111" s="308"/>
      <c r="GH111" s="301"/>
      <c r="GI111" s="308"/>
      <c r="GJ111" s="301"/>
      <c r="GK111" s="308"/>
      <c r="GL111" s="301"/>
      <c r="GM111" s="308"/>
      <c r="GN111" s="301"/>
      <c r="GO111" s="308"/>
      <c r="GP111" s="301"/>
      <c r="GQ111" s="308"/>
      <c r="GR111" s="301"/>
      <c r="GS111" s="308"/>
      <c r="GT111" s="301"/>
      <c r="GU111" s="308"/>
      <c r="GV111" s="301"/>
      <c r="GW111" s="308"/>
      <c r="GX111" s="301"/>
      <c r="GY111" s="308"/>
      <c r="GZ111" s="301"/>
      <c r="HA111" s="308"/>
      <c r="HB111" s="301"/>
      <c r="HC111" s="308"/>
      <c r="HD111" s="301"/>
      <c r="HE111" s="308"/>
      <c r="HF111" s="301"/>
      <c r="HG111" s="308"/>
      <c r="HH111" s="301"/>
      <c r="HI111" s="308"/>
      <c r="HJ111" s="301"/>
      <c r="HK111" s="308"/>
      <c r="HL111" s="301"/>
      <c r="HM111" s="308"/>
      <c r="HN111" s="301"/>
      <c r="HO111" s="308"/>
      <c r="HP111" s="301"/>
      <c r="HQ111" s="308"/>
      <c r="HR111" s="301"/>
      <c r="HS111" s="308"/>
      <c r="HT111" s="301"/>
      <c r="HU111" s="308"/>
      <c r="HV111" s="301"/>
      <c r="HW111" s="308"/>
      <c r="HX111" s="301"/>
      <c r="HY111" s="308"/>
      <c r="HZ111" s="301"/>
      <c r="IA111" s="308"/>
      <c r="IB111" s="301"/>
      <c r="IC111" s="308"/>
      <c r="ID111" s="301"/>
      <c r="IE111" s="308"/>
      <c r="IF111" s="301"/>
      <c r="IG111" s="308"/>
      <c r="IH111" s="301"/>
      <c r="II111" s="308"/>
      <c r="IJ111" s="301"/>
      <c r="IK111" s="308"/>
      <c r="IL111" s="301"/>
      <c r="IM111" s="308"/>
      <c r="IN111" s="301"/>
      <c r="IO111" s="308"/>
      <c r="IP111" s="301"/>
      <c r="IQ111" s="308"/>
      <c r="IR111" s="301"/>
      <c r="IS111" s="308"/>
      <c r="IT111" s="301"/>
      <c r="IU111" s="308"/>
      <c r="IV111" s="301"/>
    </row>
    <row r="112" spans="6:13" s="84" customFormat="1" ht="12" customHeight="1">
      <c r="F112" s="326" t="s">
        <v>1</v>
      </c>
      <c r="G112" s="326"/>
      <c r="H112" s="326"/>
      <c r="I112" s="290" t="s">
        <v>1</v>
      </c>
      <c r="J112" s="291"/>
      <c r="K112" s="326"/>
      <c r="L112" s="290"/>
      <c r="M112" s="291"/>
    </row>
    <row r="113" spans="1:13" s="84" customFormat="1" ht="12" customHeight="1">
      <c r="A113" s="321">
        <v>14</v>
      </c>
      <c r="C113" s="84" t="s">
        <v>116</v>
      </c>
      <c r="E113" s="321">
        <v>14</v>
      </c>
      <c r="H113" s="329">
        <f>SUM(H108:H110)</f>
        <v>13124163</v>
      </c>
      <c r="I113" s="330"/>
      <c r="J113" s="329">
        <f>SUM(J108:J110)</f>
        <v>27244037</v>
      </c>
      <c r="K113" s="329"/>
      <c r="L113" s="330"/>
      <c r="M113" s="329">
        <f>SUM(M108:M110)</f>
        <v>13821656</v>
      </c>
    </row>
    <row r="114" spans="1:13" s="84" customFormat="1" ht="12" customHeight="1">
      <c r="A114" s="321"/>
      <c r="E114" s="321"/>
      <c r="F114" s="326" t="s">
        <v>1</v>
      </c>
      <c r="G114" s="326"/>
      <c r="H114" s="326"/>
      <c r="I114" s="290" t="s">
        <v>1</v>
      </c>
      <c r="J114" s="291"/>
      <c r="K114" s="326"/>
      <c r="L114" s="290"/>
      <c r="M114" s="291"/>
    </row>
    <row r="115" spans="1:13" s="84" customFormat="1" ht="12" customHeight="1">
      <c r="A115" s="321">
        <v>15</v>
      </c>
      <c r="C115" s="327" t="s">
        <v>93</v>
      </c>
      <c r="D115" s="332"/>
      <c r="E115" s="321">
        <v>15</v>
      </c>
      <c r="H115" s="329">
        <f>SUM(H106,H113)</f>
        <v>13124163</v>
      </c>
      <c r="I115" s="330"/>
      <c r="J115" s="329">
        <f>SUM(J106,J113)</f>
        <v>27244037</v>
      </c>
      <c r="K115" s="329"/>
      <c r="L115" s="330"/>
      <c r="M115" s="329">
        <f>SUM(M106,M113)</f>
        <v>13821656</v>
      </c>
    </row>
    <row r="116" spans="1:13" s="84" customFormat="1" ht="12" customHeight="1">
      <c r="A116" s="321"/>
      <c r="C116" s="327"/>
      <c r="D116" s="332"/>
      <c r="E116" s="321"/>
      <c r="H116" s="329"/>
      <c r="I116" s="330"/>
      <c r="J116" s="330"/>
      <c r="K116" s="329"/>
      <c r="L116" s="330"/>
      <c r="M116" s="330"/>
    </row>
    <row r="117" spans="1:13" s="84" customFormat="1" ht="12" customHeight="1">
      <c r="A117" s="321">
        <v>16</v>
      </c>
      <c r="C117" s="84" t="s">
        <v>205</v>
      </c>
      <c r="E117" s="321">
        <v>16</v>
      </c>
      <c r="H117" s="329">
        <v>-8080125</v>
      </c>
      <c r="I117" s="330"/>
      <c r="J117" s="330">
        <v>-14260600</v>
      </c>
      <c r="K117" s="329"/>
      <c r="L117" s="330"/>
      <c r="M117" s="330"/>
    </row>
    <row r="118" spans="1:13" s="84" customFormat="1" ht="12" customHeight="1">
      <c r="A118" s="321">
        <v>17</v>
      </c>
      <c r="C118" s="293" t="s">
        <v>0</v>
      </c>
      <c r="E118" s="321">
        <v>17</v>
      </c>
      <c r="F118" s="323"/>
      <c r="G118" s="323"/>
      <c r="H118" s="328"/>
      <c r="I118" s="328"/>
      <c r="J118" s="328"/>
      <c r="K118" s="328"/>
      <c r="L118" s="328"/>
      <c r="M118" s="328"/>
    </row>
    <row r="119" spans="1:13" s="84" customFormat="1" ht="12" customHeight="1">
      <c r="A119" s="321">
        <v>18</v>
      </c>
      <c r="E119" s="321">
        <v>18</v>
      </c>
      <c r="H119" s="329"/>
      <c r="I119" s="329"/>
      <c r="J119" s="329"/>
      <c r="K119" s="329"/>
      <c r="L119" s="329"/>
      <c r="M119" s="329"/>
    </row>
    <row r="120" spans="1:13" s="84" customFormat="1" ht="12" customHeight="1">
      <c r="A120" s="321">
        <v>19</v>
      </c>
      <c r="E120" s="321">
        <v>19</v>
      </c>
      <c r="H120" s="329"/>
      <c r="I120" s="329"/>
      <c r="J120" s="329"/>
      <c r="K120" s="329"/>
      <c r="L120" s="329"/>
      <c r="M120" s="329"/>
    </row>
    <row r="121" spans="1:13" s="84" customFormat="1" ht="12" customHeight="1">
      <c r="A121" s="321"/>
      <c r="C121" s="327"/>
      <c r="E121" s="321"/>
      <c r="F121" s="326" t="s">
        <v>1</v>
      </c>
      <c r="G121" s="326"/>
      <c r="H121" s="326"/>
      <c r="I121" s="290" t="s">
        <v>1</v>
      </c>
      <c r="J121" s="291" t="s">
        <v>1</v>
      </c>
      <c r="K121" s="326" t="s">
        <v>1</v>
      </c>
      <c r="L121" s="290" t="s">
        <v>1</v>
      </c>
      <c r="M121" s="291" t="s">
        <v>1</v>
      </c>
    </row>
    <row r="122" spans="1:13" s="84" customFormat="1" ht="12" customHeight="1">
      <c r="A122" s="321">
        <v>20</v>
      </c>
      <c r="C122" s="327" t="s">
        <v>92</v>
      </c>
      <c r="E122" s="321">
        <v>20</v>
      </c>
      <c r="H122" s="329">
        <f>H115+H117</f>
        <v>5044038</v>
      </c>
      <c r="I122" s="330"/>
      <c r="J122" s="329">
        <f>J115+J117</f>
        <v>12983437</v>
      </c>
      <c r="K122" s="329"/>
      <c r="L122" s="330"/>
      <c r="M122" s="329">
        <f>M115+M117</f>
        <v>13821656</v>
      </c>
    </row>
    <row r="123" spans="1:13" s="84" customFormat="1" ht="12" customHeight="1">
      <c r="A123" s="333"/>
      <c r="C123" s="293" t="s">
        <v>203</v>
      </c>
      <c r="E123" s="313"/>
      <c r="F123" s="326" t="s">
        <v>1</v>
      </c>
      <c r="G123" s="326"/>
      <c r="H123" s="326"/>
      <c r="I123" s="290" t="s">
        <v>1</v>
      </c>
      <c r="J123" s="291" t="s">
        <v>1</v>
      </c>
      <c r="K123" s="326" t="s">
        <v>1</v>
      </c>
      <c r="L123" s="290" t="s">
        <v>1</v>
      </c>
      <c r="M123" s="291" t="s">
        <v>1</v>
      </c>
    </row>
    <row r="124" spans="6:13" s="84" customFormat="1" ht="12" customHeight="1">
      <c r="F124" s="326"/>
      <c r="G124" s="326"/>
      <c r="H124" s="326"/>
      <c r="I124" s="290"/>
      <c r="J124" s="322"/>
      <c r="K124" s="326"/>
      <c r="L124" s="290"/>
      <c r="M124" s="322"/>
    </row>
    <row r="125" spans="6:13" s="84" customFormat="1" ht="12" customHeight="1">
      <c r="F125" s="326"/>
      <c r="G125" s="326"/>
      <c r="H125" s="326"/>
      <c r="I125" s="290"/>
      <c r="J125" s="322"/>
      <c r="K125" s="326"/>
      <c r="L125" s="290"/>
      <c r="M125" s="322"/>
    </row>
    <row r="126" spans="6:13" s="84" customFormat="1" ht="12" customHeight="1">
      <c r="F126" s="326"/>
      <c r="G126" s="326"/>
      <c r="H126" s="326"/>
      <c r="I126" s="290"/>
      <c r="J126" s="322"/>
      <c r="K126" s="326"/>
      <c r="L126" s="290"/>
      <c r="M126" s="322"/>
    </row>
    <row r="127" spans="6:13" s="84" customFormat="1" ht="12" customHeight="1">
      <c r="F127" s="326"/>
      <c r="G127" s="326"/>
      <c r="H127" s="326"/>
      <c r="I127" s="290"/>
      <c r="J127" s="322"/>
      <c r="K127" s="326"/>
      <c r="L127" s="290"/>
      <c r="M127" s="322"/>
    </row>
    <row r="128" spans="6:13" s="84" customFormat="1" ht="12" customHeight="1">
      <c r="F128" s="326"/>
      <c r="G128" s="326"/>
      <c r="H128" s="326"/>
      <c r="I128" s="290"/>
      <c r="J128" s="322"/>
      <c r="K128" s="326"/>
      <c r="L128" s="290"/>
      <c r="M128" s="322"/>
    </row>
    <row r="129" spans="6:13" s="84" customFormat="1" ht="12" customHeight="1">
      <c r="F129" s="326"/>
      <c r="G129" s="326"/>
      <c r="H129" s="326"/>
      <c r="I129" s="290"/>
      <c r="J129" s="322"/>
      <c r="K129" s="326"/>
      <c r="L129" s="290"/>
      <c r="M129" s="322"/>
    </row>
    <row r="130" spans="6:13" s="84" customFormat="1" ht="12" customHeight="1">
      <c r="F130" s="326"/>
      <c r="G130" s="326"/>
      <c r="H130" s="326"/>
      <c r="I130" s="290"/>
      <c r="J130" s="322"/>
      <c r="K130" s="326"/>
      <c r="L130" s="290"/>
      <c r="M130" s="322"/>
    </row>
    <row r="131" spans="6:13" s="84" customFormat="1" ht="12" customHeight="1">
      <c r="F131" s="326"/>
      <c r="G131" s="326"/>
      <c r="H131" s="326"/>
      <c r="I131" s="290"/>
      <c r="J131" s="322"/>
      <c r="K131" s="326"/>
      <c r="L131" s="290"/>
      <c r="M131" s="322"/>
    </row>
    <row r="132" spans="6:13" s="84" customFormat="1" ht="12" customHeight="1">
      <c r="F132" s="326"/>
      <c r="G132" s="326"/>
      <c r="H132" s="326"/>
      <c r="I132" s="290"/>
      <c r="J132" s="322"/>
      <c r="K132" s="326"/>
      <c r="L132" s="290"/>
      <c r="M132" s="322"/>
    </row>
    <row r="133" spans="6:13" s="84" customFormat="1" ht="12" customHeight="1">
      <c r="F133" s="326"/>
      <c r="G133" s="326"/>
      <c r="H133" s="326"/>
      <c r="I133" s="290"/>
      <c r="J133" s="322"/>
      <c r="K133" s="326"/>
      <c r="L133" s="290"/>
      <c r="M133" s="322"/>
    </row>
    <row r="134" spans="6:13" s="84" customFormat="1" ht="12" customHeight="1">
      <c r="F134" s="326"/>
      <c r="G134" s="326"/>
      <c r="H134" s="326"/>
      <c r="I134" s="290"/>
      <c r="J134" s="322"/>
      <c r="K134" s="326"/>
      <c r="L134" s="290"/>
      <c r="M134" s="322"/>
    </row>
    <row r="135" spans="6:13" s="84" customFormat="1" ht="12" customHeight="1">
      <c r="F135" s="326"/>
      <c r="G135" s="326"/>
      <c r="H135" s="326"/>
      <c r="I135" s="290"/>
      <c r="J135" s="322"/>
      <c r="K135" s="326"/>
      <c r="L135" s="290"/>
      <c r="M135" s="322"/>
    </row>
    <row r="136" spans="6:13" s="84" customFormat="1" ht="12" customHeight="1">
      <c r="F136" s="326"/>
      <c r="G136" s="326"/>
      <c r="H136" s="326"/>
      <c r="I136" s="290"/>
      <c r="J136" s="322"/>
      <c r="K136" s="326"/>
      <c r="L136" s="290"/>
      <c r="M136" s="322"/>
    </row>
    <row r="137" spans="6:13" s="84" customFormat="1" ht="12" customHeight="1">
      <c r="F137" s="326"/>
      <c r="G137" s="326"/>
      <c r="H137" s="326"/>
      <c r="I137" s="290"/>
      <c r="J137" s="322"/>
      <c r="K137" s="326"/>
      <c r="L137" s="290"/>
      <c r="M137" s="322"/>
    </row>
    <row r="138" spans="1:13" s="84" customFormat="1" ht="12" customHeight="1">
      <c r="A138" s="281" t="str">
        <f>$A$40</f>
        <v>Institution No.:  GFA</v>
      </c>
      <c r="B138" s="286"/>
      <c r="C138" s="286"/>
      <c r="D138" s="286"/>
      <c r="E138" s="314"/>
      <c r="F138" s="286"/>
      <c r="G138" s="286"/>
      <c r="H138" s="286"/>
      <c r="I138" s="315"/>
      <c r="J138" s="316"/>
      <c r="K138" s="286"/>
      <c r="L138" s="315"/>
      <c r="M138" s="285" t="s">
        <v>84</v>
      </c>
    </row>
    <row r="139" spans="1:13" s="84" customFormat="1" ht="12" customHeight="1">
      <c r="A139" s="286"/>
      <c r="B139" s="286"/>
      <c r="C139" s="286"/>
      <c r="D139" s="317" t="s">
        <v>85</v>
      </c>
      <c r="E139" s="314"/>
      <c r="F139" s="286"/>
      <c r="G139" s="286"/>
      <c r="H139" s="286"/>
      <c r="I139" s="315"/>
      <c r="J139" s="316"/>
      <c r="K139" s="286"/>
      <c r="L139" s="315"/>
      <c r="M139" s="316"/>
    </row>
    <row r="140" spans="1:13" s="84" customFormat="1" ht="12" customHeight="1">
      <c r="A140" s="281" t="s">
        <v>663</v>
      </c>
      <c r="C140" s="286" t="s">
        <v>664</v>
      </c>
      <c r="F140" s="318"/>
      <c r="G140" s="318"/>
      <c r="H140" s="318"/>
      <c r="I140" s="319"/>
      <c r="J140" s="322"/>
      <c r="L140" s="282"/>
      <c r="M140" s="288" t="str">
        <f>$M$3</f>
        <v>Date: 10/1/2007</v>
      </c>
    </row>
    <row r="141" spans="1:13" s="84" customFormat="1" ht="12" customHeight="1">
      <c r="A141" s="289" t="s">
        <v>1</v>
      </c>
      <c r="B141" s="289" t="s">
        <v>1</v>
      </c>
      <c r="C141" s="289" t="s">
        <v>1</v>
      </c>
      <c r="D141" s="289" t="s">
        <v>1</v>
      </c>
      <c r="E141" s="289" t="s">
        <v>1</v>
      </c>
      <c r="F141" s="289" t="s">
        <v>1</v>
      </c>
      <c r="G141" s="289"/>
      <c r="H141" s="289"/>
      <c r="I141" s="290" t="s">
        <v>1</v>
      </c>
      <c r="J141" s="291" t="s">
        <v>1</v>
      </c>
      <c r="K141" s="289" t="s">
        <v>1</v>
      </c>
      <c r="L141" s="290" t="s">
        <v>1</v>
      </c>
      <c r="M141" s="291" t="s">
        <v>1</v>
      </c>
    </row>
    <row r="142" spans="1:13" s="84" customFormat="1" ht="12" customHeight="1">
      <c r="A142" s="292" t="s">
        <v>2</v>
      </c>
      <c r="E142" s="292" t="s">
        <v>2</v>
      </c>
      <c r="H142" s="294" t="s">
        <v>172</v>
      </c>
      <c r="I142" s="295"/>
      <c r="J142" s="298" t="s">
        <v>280</v>
      </c>
      <c r="K142" s="294"/>
      <c r="L142" s="295"/>
      <c r="M142" s="298" t="s">
        <v>289</v>
      </c>
    </row>
    <row r="143" spans="1:13" s="84" customFormat="1" ht="12" customHeight="1">
      <c r="A143" s="292" t="s">
        <v>4</v>
      </c>
      <c r="C143" s="299" t="s">
        <v>20</v>
      </c>
      <c r="E143" s="292" t="s">
        <v>4</v>
      </c>
      <c r="H143" s="298" t="s">
        <v>7</v>
      </c>
      <c r="I143" s="282"/>
      <c r="J143" s="298" t="s">
        <v>7</v>
      </c>
      <c r="L143" s="282"/>
      <c r="M143" s="298" t="s">
        <v>8</v>
      </c>
    </row>
    <row r="144" spans="1:13" s="84" customFormat="1" ht="12" customHeight="1">
      <c r="A144" s="289" t="s">
        <v>1</v>
      </c>
      <c r="B144" s="289" t="s">
        <v>1</v>
      </c>
      <c r="C144" s="289" t="s">
        <v>1</v>
      </c>
      <c r="D144" s="289" t="s">
        <v>1</v>
      </c>
      <c r="E144" s="289" t="s">
        <v>1</v>
      </c>
      <c r="F144" s="289" t="s">
        <v>1</v>
      </c>
      <c r="G144" s="289"/>
      <c r="H144" s="289"/>
      <c r="I144" s="290" t="s">
        <v>1</v>
      </c>
      <c r="J144" s="291" t="s">
        <v>1</v>
      </c>
      <c r="K144" s="289" t="s">
        <v>1</v>
      </c>
      <c r="L144" s="290" t="s">
        <v>1</v>
      </c>
      <c r="M144" s="291" t="s">
        <v>1</v>
      </c>
    </row>
    <row r="145" spans="1:13" s="84" customFormat="1" ht="12" customHeight="1">
      <c r="A145" s="321">
        <v>1</v>
      </c>
      <c r="C145" s="293" t="s">
        <v>95</v>
      </c>
      <c r="E145" s="321">
        <v>1</v>
      </c>
      <c r="H145" s="329"/>
      <c r="I145" s="330"/>
      <c r="J145" s="330"/>
      <c r="K145" s="329"/>
      <c r="L145" s="330"/>
      <c r="M145" s="330"/>
    </row>
    <row r="146" spans="1:13" s="84" customFormat="1" ht="12" customHeight="1">
      <c r="A146" s="321"/>
      <c r="C146" s="293"/>
      <c r="E146" s="321"/>
      <c r="H146" s="329"/>
      <c r="I146" s="330"/>
      <c r="J146" s="330"/>
      <c r="K146" s="329"/>
      <c r="L146" s="330"/>
      <c r="M146" s="330"/>
    </row>
    <row r="147" spans="1:13" s="84" customFormat="1" ht="12" customHeight="1">
      <c r="A147" s="321">
        <f>(A145+1)</f>
        <v>2</v>
      </c>
      <c r="C147" s="323" t="s">
        <v>86</v>
      </c>
      <c r="E147" s="321">
        <f>(E145+1)</f>
        <v>2</v>
      </c>
      <c r="F147" s="323"/>
      <c r="G147" s="323"/>
      <c r="H147" s="328">
        <v>2900</v>
      </c>
      <c r="I147" s="328"/>
      <c r="J147" s="328">
        <v>566</v>
      </c>
      <c r="K147" s="328"/>
      <c r="L147" s="328"/>
      <c r="M147" s="328"/>
    </row>
    <row r="148" spans="1:13" s="84" customFormat="1" ht="12" customHeight="1">
      <c r="A148" s="321">
        <f aca="true" t="shared" si="3" ref="A148:A153">(A147+1)</f>
        <v>3</v>
      </c>
      <c r="C148" s="323" t="s">
        <v>87</v>
      </c>
      <c r="E148" s="321">
        <f aca="true" t="shared" si="4" ref="E148:E153">(E147+1)</f>
        <v>3</v>
      </c>
      <c r="F148" s="323"/>
      <c r="G148" s="323"/>
      <c r="H148" s="328">
        <v>0</v>
      </c>
      <c r="I148" s="328"/>
      <c r="J148" s="328">
        <v>0</v>
      </c>
      <c r="K148" s="328"/>
      <c r="L148" s="328"/>
      <c r="M148" s="328">
        <v>0</v>
      </c>
    </row>
    <row r="149" spans="1:13" s="84" customFormat="1" ht="12" customHeight="1">
      <c r="A149" s="321">
        <f t="shared" si="3"/>
        <v>4</v>
      </c>
      <c r="C149" s="323" t="s">
        <v>264</v>
      </c>
      <c r="E149" s="321">
        <f t="shared" si="4"/>
        <v>4</v>
      </c>
      <c r="F149" s="323"/>
      <c r="G149" s="323"/>
      <c r="H149" s="328"/>
      <c r="I149" s="328"/>
      <c r="J149" s="328"/>
      <c r="K149" s="328"/>
      <c r="L149" s="328"/>
      <c r="M149" s="328"/>
    </row>
    <row r="150" spans="1:13" s="84" customFormat="1" ht="12" customHeight="1">
      <c r="A150" s="321">
        <f t="shared" si="3"/>
        <v>5</v>
      </c>
      <c r="C150" s="323"/>
      <c r="E150" s="321">
        <f t="shared" si="4"/>
        <v>5</v>
      </c>
      <c r="F150" s="323"/>
      <c r="G150" s="323"/>
      <c r="H150" s="328"/>
      <c r="I150" s="328"/>
      <c r="J150" s="328"/>
      <c r="K150" s="328"/>
      <c r="L150" s="328"/>
      <c r="M150" s="328"/>
    </row>
    <row r="151" spans="1:13" s="84" customFormat="1" ht="12" customHeight="1">
      <c r="A151" s="321">
        <f t="shared" si="3"/>
        <v>6</v>
      </c>
      <c r="C151" s="323"/>
      <c r="E151" s="321">
        <f t="shared" si="4"/>
        <v>6</v>
      </c>
      <c r="F151" s="323"/>
      <c r="G151" s="323"/>
      <c r="H151" s="328"/>
      <c r="I151" s="328"/>
      <c r="J151" s="328"/>
      <c r="K151" s="328"/>
      <c r="L151" s="328"/>
      <c r="M151" s="328"/>
    </row>
    <row r="152" spans="1:13" s="84" customFormat="1" ht="12" customHeight="1">
      <c r="A152" s="321">
        <f t="shared" si="3"/>
        <v>7</v>
      </c>
      <c r="C152" s="323"/>
      <c r="E152" s="321">
        <f t="shared" si="4"/>
        <v>7</v>
      </c>
      <c r="F152" s="323"/>
      <c r="G152" s="323"/>
      <c r="H152" s="328"/>
      <c r="I152" s="328"/>
      <c r="J152" s="328"/>
      <c r="K152" s="328"/>
      <c r="L152" s="328"/>
      <c r="M152" s="328"/>
    </row>
    <row r="153" spans="1:13" s="84" customFormat="1" ht="12" customHeight="1">
      <c r="A153" s="321">
        <f t="shared" si="3"/>
        <v>8</v>
      </c>
      <c r="C153" s="323"/>
      <c r="E153" s="321">
        <f t="shared" si="4"/>
        <v>8</v>
      </c>
      <c r="F153" s="323"/>
      <c r="G153" s="323"/>
      <c r="H153" s="328"/>
      <c r="I153" s="328"/>
      <c r="J153" s="328"/>
      <c r="K153" s="328"/>
      <c r="L153" s="328"/>
      <c r="M153" s="328"/>
    </row>
    <row r="154" spans="1:13" s="84" customFormat="1" ht="12" customHeight="1">
      <c r="A154" s="321"/>
      <c r="C154" s="323"/>
      <c r="E154" s="321"/>
      <c r="F154" s="326" t="s">
        <v>1</v>
      </c>
      <c r="G154" s="326"/>
      <c r="H154" s="326"/>
      <c r="I154" s="290" t="s">
        <v>1</v>
      </c>
      <c r="J154" s="291"/>
      <c r="K154" s="326"/>
      <c r="L154" s="290"/>
      <c r="M154" s="291"/>
    </row>
    <row r="155" spans="1:13" s="84" customFormat="1" ht="12" customHeight="1">
      <c r="A155" s="321">
        <v>9</v>
      </c>
      <c r="C155" s="84" t="s">
        <v>82</v>
      </c>
      <c r="E155" s="321">
        <v>9</v>
      </c>
      <c r="F155" s="323"/>
      <c r="G155" s="323"/>
      <c r="H155" s="328">
        <f>SUM(H147:H149)</f>
        <v>2900</v>
      </c>
      <c r="I155" s="328"/>
      <c r="J155" s="328">
        <f>SUM(J147:J149)</f>
        <v>566</v>
      </c>
      <c r="K155" s="328"/>
      <c r="L155" s="328"/>
      <c r="M155" s="328">
        <f>SUM(M147:M149)</f>
        <v>0</v>
      </c>
    </row>
    <row r="156" spans="1:13" s="84" customFormat="1" ht="12" customHeight="1">
      <c r="A156" s="321"/>
      <c r="C156" s="323"/>
      <c r="E156" s="321"/>
      <c r="F156" s="323"/>
      <c r="G156" s="323"/>
      <c r="H156" s="328"/>
      <c r="I156" s="328"/>
      <c r="J156" s="328"/>
      <c r="K156" s="328"/>
      <c r="L156" s="328"/>
      <c r="M156" s="328"/>
    </row>
    <row r="157" spans="1:13" s="84" customFormat="1" ht="12" customHeight="1">
      <c r="A157" s="321">
        <v>10</v>
      </c>
      <c r="C157" s="323" t="s">
        <v>239</v>
      </c>
      <c r="E157" s="321">
        <v>10</v>
      </c>
      <c r="F157" s="323"/>
      <c r="G157" s="323"/>
      <c r="H157" s="328">
        <v>0</v>
      </c>
      <c r="I157" s="328"/>
      <c r="J157" s="328"/>
      <c r="K157" s="328"/>
      <c r="L157" s="328"/>
      <c r="M157" s="328"/>
    </row>
    <row r="158" spans="1:13" s="84" customFormat="1" ht="12" customHeight="1">
      <c r="A158" s="321">
        <v>11</v>
      </c>
      <c r="C158" s="323" t="s">
        <v>88</v>
      </c>
      <c r="E158" s="321">
        <v>11</v>
      </c>
      <c r="F158" s="323"/>
      <c r="G158" s="323"/>
      <c r="H158" s="328"/>
      <c r="I158" s="328"/>
      <c r="J158" s="328"/>
      <c r="K158" s="328"/>
      <c r="L158" s="328"/>
      <c r="M158" s="328">
        <v>0</v>
      </c>
    </row>
    <row r="159" spans="1:13" s="84" customFormat="1" ht="12" customHeight="1">
      <c r="A159" s="321">
        <v>12</v>
      </c>
      <c r="C159" s="323" t="s">
        <v>240</v>
      </c>
      <c r="E159" s="321">
        <v>12</v>
      </c>
      <c r="F159" s="323"/>
      <c r="G159" s="323"/>
      <c r="H159" s="328">
        <v>318052</v>
      </c>
      <c r="I159" s="328"/>
      <c r="J159" s="328">
        <v>90160</v>
      </c>
      <c r="K159" s="328"/>
      <c r="L159" s="328"/>
      <c r="M159" s="328"/>
    </row>
    <row r="160" spans="1:13" s="84" customFormat="1" ht="12" customHeight="1">
      <c r="A160" s="321">
        <v>13</v>
      </c>
      <c r="C160" s="323"/>
      <c r="E160" s="321">
        <v>13</v>
      </c>
      <c r="F160" s="323"/>
      <c r="G160" s="323"/>
      <c r="H160" s="328"/>
      <c r="I160" s="328"/>
      <c r="J160" s="328"/>
      <c r="K160" s="328"/>
      <c r="L160" s="328"/>
      <c r="M160" s="328"/>
    </row>
    <row r="161" spans="3:13" s="84" customFormat="1" ht="12" customHeight="1">
      <c r="C161" s="323"/>
      <c r="F161" s="326" t="s">
        <v>1</v>
      </c>
      <c r="G161" s="326"/>
      <c r="H161" s="326"/>
      <c r="I161" s="290" t="s">
        <v>1</v>
      </c>
      <c r="J161" s="291"/>
      <c r="K161" s="326"/>
      <c r="L161" s="290"/>
      <c r="M161" s="291"/>
    </row>
    <row r="162" spans="1:13" s="84" customFormat="1" ht="12" customHeight="1">
      <c r="A162" s="321">
        <v>14</v>
      </c>
      <c r="C162" s="84" t="s">
        <v>116</v>
      </c>
      <c r="E162" s="321">
        <v>14</v>
      </c>
      <c r="H162" s="329">
        <f>SUM(H157:H161)</f>
        <v>318052</v>
      </c>
      <c r="I162" s="330"/>
      <c r="J162" s="329">
        <f>SUM(J157:J161)</f>
        <v>90160</v>
      </c>
      <c r="K162" s="329"/>
      <c r="L162" s="330"/>
      <c r="M162" s="329">
        <f>SUM(M157:M161)</f>
        <v>0</v>
      </c>
    </row>
    <row r="163" spans="1:13" s="84" customFormat="1" ht="12" customHeight="1">
      <c r="A163" s="321"/>
      <c r="C163" s="323"/>
      <c r="E163" s="321"/>
      <c r="F163" s="326" t="s">
        <v>1</v>
      </c>
      <c r="G163" s="326"/>
      <c r="H163" s="326"/>
      <c r="I163" s="290" t="s">
        <v>1</v>
      </c>
      <c r="J163" s="291"/>
      <c r="K163" s="326"/>
      <c r="L163" s="290"/>
      <c r="M163" s="291"/>
    </row>
    <row r="164" spans="1:13" s="84" customFormat="1" ht="12" customHeight="1">
      <c r="A164" s="321">
        <v>15</v>
      </c>
      <c r="C164" s="293" t="s">
        <v>96</v>
      </c>
      <c r="E164" s="321">
        <v>15</v>
      </c>
      <c r="H164" s="329">
        <f>SUM(H155,H162)</f>
        <v>320952</v>
      </c>
      <c r="I164" s="330"/>
      <c r="J164" s="329">
        <f>SUM(J155,J162)</f>
        <v>90726</v>
      </c>
      <c r="K164" s="329"/>
      <c r="L164" s="330"/>
      <c r="M164" s="329">
        <f>SUM(M155,M162)</f>
        <v>0</v>
      </c>
    </row>
    <row r="165" spans="1:13" s="84" customFormat="1" ht="12" customHeight="1">
      <c r="A165" s="321"/>
      <c r="C165" s="293"/>
      <c r="E165" s="321"/>
      <c r="H165" s="329"/>
      <c r="I165" s="330"/>
      <c r="J165" s="329"/>
      <c r="K165" s="329"/>
      <c r="L165" s="330"/>
      <c r="M165" s="329"/>
    </row>
    <row r="166" spans="1:13" s="84" customFormat="1" ht="12" customHeight="1">
      <c r="A166" s="321">
        <v>16</v>
      </c>
      <c r="C166" s="293" t="s">
        <v>206</v>
      </c>
      <c r="E166" s="321">
        <v>16</v>
      </c>
      <c r="H166" s="329"/>
      <c r="I166" s="330"/>
      <c r="J166" s="330"/>
      <c r="K166" s="329"/>
      <c r="L166" s="330"/>
      <c r="M166" s="330"/>
    </row>
    <row r="167" spans="1:13" s="84" customFormat="1" ht="12" customHeight="1">
      <c r="A167" s="321">
        <v>17</v>
      </c>
      <c r="C167" s="84" t="s">
        <v>207</v>
      </c>
      <c r="E167" s="321">
        <v>17</v>
      </c>
      <c r="H167" s="329">
        <v>6562937</v>
      </c>
      <c r="I167" s="330"/>
      <c r="J167" s="330">
        <v>8080125</v>
      </c>
      <c r="K167" s="329"/>
      <c r="L167" s="330"/>
      <c r="M167" s="330"/>
    </row>
    <row r="168" spans="1:13" s="84" customFormat="1" ht="12" customHeight="1">
      <c r="A168" s="321">
        <v>18</v>
      </c>
      <c r="E168" s="321">
        <v>18</v>
      </c>
      <c r="H168" s="329"/>
      <c r="I168" s="329"/>
      <c r="J168" s="329"/>
      <c r="K168" s="329"/>
      <c r="L168" s="329"/>
      <c r="M168" s="329"/>
    </row>
    <row r="169" spans="1:13" s="84" customFormat="1" ht="12" customHeight="1">
      <c r="A169" s="321">
        <v>19</v>
      </c>
      <c r="E169" s="321">
        <v>19</v>
      </c>
      <c r="H169" s="329"/>
      <c r="I169" s="329"/>
      <c r="J169" s="329"/>
      <c r="K169" s="329"/>
      <c r="L169" s="329"/>
      <c r="M169" s="329"/>
    </row>
    <row r="170" spans="1:13" s="84" customFormat="1" ht="12" customHeight="1">
      <c r="A170" s="321"/>
      <c r="C170" s="327"/>
      <c r="E170" s="321"/>
      <c r="F170" s="326" t="s">
        <v>1</v>
      </c>
      <c r="G170" s="326"/>
      <c r="H170" s="326"/>
      <c r="I170" s="290" t="s">
        <v>1</v>
      </c>
      <c r="J170" s="291"/>
      <c r="K170" s="326"/>
      <c r="L170" s="290"/>
      <c r="M170" s="291"/>
    </row>
    <row r="171" spans="1:13" s="84" customFormat="1" ht="12" customHeight="1">
      <c r="A171" s="321">
        <v>20</v>
      </c>
      <c r="C171" s="327" t="s">
        <v>97</v>
      </c>
      <c r="E171" s="321">
        <v>20</v>
      </c>
      <c r="H171" s="329">
        <f>SUM(H164:H169)</f>
        <v>6883889</v>
      </c>
      <c r="I171" s="330"/>
      <c r="J171" s="329">
        <f>SUM(J164:J169)</f>
        <v>8170851</v>
      </c>
      <c r="K171" s="329"/>
      <c r="L171" s="330"/>
      <c r="M171" s="329">
        <f>SUM(M164:M169)</f>
        <v>0</v>
      </c>
    </row>
    <row r="172" spans="1:13" s="84" customFormat="1" ht="12" customHeight="1">
      <c r="A172" s="333"/>
      <c r="C172" s="293" t="s">
        <v>204</v>
      </c>
      <c r="E172" s="313"/>
      <c r="F172" s="326" t="s">
        <v>1</v>
      </c>
      <c r="G172" s="326"/>
      <c r="H172" s="326"/>
      <c r="I172" s="290" t="s">
        <v>1</v>
      </c>
      <c r="J172" s="291" t="s">
        <v>1</v>
      </c>
      <c r="K172" s="326" t="s">
        <v>1</v>
      </c>
      <c r="L172" s="290" t="s">
        <v>1</v>
      </c>
      <c r="M172" s="291" t="s">
        <v>1</v>
      </c>
    </row>
    <row r="173" spans="6:13" s="84" customFormat="1" ht="12" customHeight="1">
      <c r="F173" s="326"/>
      <c r="G173" s="326"/>
      <c r="H173" s="326"/>
      <c r="I173" s="290"/>
      <c r="J173" s="322"/>
      <c r="K173" s="326"/>
      <c r="L173" s="290"/>
      <c r="M173" s="322"/>
    </row>
    <row r="174" spans="6:13" s="84" customFormat="1" ht="12" customHeight="1">
      <c r="F174" s="326"/>
      <c r="G174" s="326"/>
      <c r="H174" s="326"/>
      <c r="I174" s="290"/>
      <c r="J174" s="322"/>
      <c r="K174" s="326"/>
      <c r="L174" s="290"/>
      <c r="M174" s="322"/>
    </row>
    <row r="175" spans="6:13" s="84" customFormat="1" ht="12" customHeight="1">
      <c r="F175" s="326"/>
      <c r="G175" s="326"/>
      <c r="H175" s="326"/>
      <c r="I175" s="290"/>
      <c r="J175" s="322"/>
      <c r="K175" s="326"/>
      <c r="L175" s="290"/>
      <c r="M175" s="322"/>
    </row>
    <row r="176" spans="6:13" s="84" customFormat="1" ht="12" customHeight="1">
      <c r="F176" s="326"/>
      <c r="G176" s="326"/>
      <c r="H176" s="326"/>
      <c r="I176" s="290"/>
      <c r="J176" s="322"/>
      <c r="K176" s="326"/>
      <c r="L176" s="290"/>
      <c r="M176" s="322"/>
    </row>
    <row r="177" spans="6:13" s="84" customFormat="1" ht="12" customHeight="1">
      <c r="F177" s="326"/>
      <c r="G177" s="326"/>
      <c r="H177" s="326"/>
      <c r="I177" s="290"/>
      <c r="J177" s="322"/>
      <c r="K177" s="326"/>
      <c r="L177" s="290"/>
      <c r="M177" s="322"/>
    </row>
    <row r="178" spans="6:13" s="84" customFormat="1" ht="12" customHeight="1">
      <c r="F178" s="326"/>
      <c r="G178" s="326"/>
      <c r="H178" s="326"/>
      <c r="I178" s="290"/>
      <c r="J178" s="322"/>
      <c r="K178" s="326"/>
      <c r="L178" s="290"/>
      <c r="M178" s="322"/>
    </row>
    <row r="179" spans="6:13" s="84" customFormat="1" ht="12" customHeight="1">
      <c r="F179" s="326"/>
      <c r="G179" s="326"/>
      <c r="H179" s="326"/>
      <c r="I179" s="290"/>
      <c r="J179" s="322"/>
      <c r="K179" s="326"/>
      <c r="L179" s="290"/>
      <c r="M179" s="322"/>
    </row>
    <row r="180" spans="6:13" s="84" customFormat="1" ht="12" customHeight="1">
      <c r="F180" s="326"/>
      <c r="G180" s="326"/>
      <c r="H180" s="326"/>
      <c r="I180" s="290"/>
      <c r="J180" s="322"/>
      <c r="K180" s="326"/>
      <c r="L180" s="290"/>
      <c r="M180" s="322"/>
    </row>
    <row r="181" spans="6:13" s="84" customFormat="1" ht="12" customHeight="1">
      <c r="F181" s="326"/>
      <c r="G181" s="326"/>
      <c r="H181" s="326"/>
      <c r="I181" s="290"/>
      <c r="J181" s="322"/>
      <c r="K181" s="326"/>
      <c r="L181" s="290"/>
      <c r="M181" s="322"/>
    </row>
    <row r="182" spans="6:13" s="84" customFormat="1" ht="12" customHeight="1">
      <c r="F182" s="326"/>
      <c r="G182" s="326"/>
      <c r="H182" s="326"/>
      <c r="I182" s="290"/>
      <c r="J182" s="322"/>
      <c r="K182" s="326"/>
      <c r="L182" s="290"/>
      <c r="M182" s="322"/>
    </row>
    <row r="183" spans="6:13" s="84" customFormat="1" ht="12" customHeight="1">
      <c r="F183" s="326"/>
      <c r="G183" s="326"/>
      <c r="H183" s="326"/>
      <c r="I183" s="290"/>
      <c r="J183" s="322"/>
      <c r="K183" s="326"/>
      <c r="L183" s="290"/>
      <c r="M183" s="322"/>
    </row>
    <row r="184" spans="6:13" s="84" customFormat="1" ht="12" customHeight="1">
      <c r="F184" s="326"/>
      <c r="G184" s="326"/>
      <c r="H184" s="326"/>
      <c r="I184" s="290"/>
      <c r="J184" s="322"/>
      <c r="K184" s="326"/>
      <c r="L184" s="290"/>
      <c r="M184" s="322"/>
    </row>
    <row r="185" spans="6:13" s="84" customFormat="1" ht="12" customHeight="1">
      <c r="F185" s="326"/>
      <c r="G185" s="326"/>
      <c r="H185" s="326"/>
      <c r="I185" s="290"/>
      <c r="J185" s="322"/>
      <c r="K185" s="326"/>
      <c r="L185" s="290"/>
      <c r="M185" s="322"/>
    </row>
    <row r="186" spans="6:13" s="84" customFormat="1" ht="12" customHeight="1">
      <c r="F186" s="326"/>
      <c r="G186" s="326"/>
      <c r="H186" s="326"/>
      <c r="I186" s="290"/>
      <c r="J186" s="322"/>
      <c r="K186" s="326"/>
      <c r="L186" s="290"/>
      <c r="M186" s="322"/>
    </row>
    <row r="187" spans="1:13" s="84" customFormat="1" ht="12" customHeight="1">
      <c r="A187" s="281" t="str">
        <f>$A$40</f>
        <v>Institution No.:  GFA</v>
      </c>
      <c r="B187" s="286"/>
      <c r="C187" s="286"/>
      <c r="D187" s="286"/>
      <c r="E187" s="314"/>
      <c r="F187" s="286"/>
      <c r="G187" s="286"/>
      <c r="H187" s="286"/>
      <c r="I187" s="315"/>
      <c r="J187" s="316"/>
      <c r="K187" s="286"/>
      <c r="L187" s="315"/>
      <c r="M187" s="285" t="s">
        <v>89</v>
      </c>
    </row>
    <row r="188" spans="1:13" s="84" customFormat="1" ht="12" customHeight="1">
      <c r="A188" s="440" t="s">
        <v>242</v>
      </c>
      <c r="B188" s="440"/>
      <c r="C188" s="440"/>
      <c r="D188" s="440"/>
      <c r="E188" s="440"/>
      <c r="F188" s="440"/>
      <c r="G188" s="440"/>
      <c r="H188" s="440"/>
      <c r="I188" s="440"/>
      <c r="J188" s="440"/>
      <c r="K188" s="440"/>
      <c r="L188" s="440"/>
      <c r="M188" s="440"/>
    </row>
    <row r="189" spans="1:13" s="84" customFormat="1" ht="12" customHeight="1">
      <c r="A189" s="281" t="s">
        <v>663</v>
      </c>
      <c r="C189" s="286" t="s">
        <v>664</v>
      </c>
      <c r="I189" s="284"/>
      <c r="J189" s="322"/>
      <c r="L189" s="282"/>
      <c r="M189" s="288" t="str">
        <f>$M$3</f>
        <v>Date: 10/1/2007</v>
      </c>
    </row>
    <row r="190" spans="1:13" s="84" customFormat="1" ht="12" customHeight="1">
      <c r="A190" s="289" t="s">
        <v>1</v>
      </c>
      <c r="B190" s="289" t="s">
        <v>1</v>
      </c>
      <c r="C190" s="289" t="s">
        <v>1</v>
      </c>
      <c r="D190" s="289" t="s">
        <v>1</v>
      </c>
      <c r="E190" s="289" t="s">
        <v>1</v>
      </c>
      <c r="F190" s="289" t="s">
        <v>1</v>
      </c>
      <c r="G190" s="289"/>
      <c r="H190" s="289"/>
      <c r="I190" s="290" t="s">
        <v>1</v>
      </c>
      <c r="J190" s="291" t="s">
        <v>1</v>
      </c>
      <c r="K190" s="289" t="s">
        <v>1</v>
      </c>
      <c r="L190" s="290" t="s">
        <v>1</v>
      </c>
      <c r="M190" s="291" t="s">
        <v>1</v>
      </c>
    </row>
    <row r="191" spans="1:13" s="84" customFormat="1" ht="12" customHeight="1">
      <c r="A191" s="292" t="s">
        <v>2</v>
      </c>
      <c r="E191" s="292" t="s">
        <v>2</v>
      </c>
      <c r="F191" s="294"/>
      <c r="G191" s="294"/>
      <c r="H191" s="294" t="s">
        <v>172</v>
      </c>
      <c r="I191" s="295"/>
      <c r="J191" s="298" t="s">
        <v>280</v>
      </c>
      <c r="K191" s="294"/>
      <c r="L191" s="295"/>
      <c r="M191" s="298" t="s">
        <v>289</v>
      </c>
    </row>
    <row r="192" spans="1:13" s="84" customFormat="1" ht="12" customHeight="1">
      <c r="A192" s="292" t="s">
        <v>4</v>
      </c>
      <c r="C192" s="299" t="s">
        <v>20</v>
      </c>
      <c r="E192" s="292" t="s">
        <v>4</v>
      </c>
      <c r="F192" s="294"/>
      <c r="G192" s="294"/>
      <c r="H192" s="298" t="s">
        <v>7</v>
      </c>
      <c r="I192" s="295"/>
      <c r="J192" s="298" t="s">
        <v>7</v>
      </c>
      <c r="K192" s="294"/>
      <c r="L192" s="295"/>
      <c r="M192" s="298" t="s">
        <v>8</v>
      </c>
    </row>
    <row r="193" spans="1:13" s="84" customFormat="1" ht="12" customHeight="1">
      <c r="A193" s="289" t="s">
        <v>1</v>
      </c>
      <c r="B193" s="289" t="s">
        <v>1</v>
      </c>
      <c r="C193" s="289" t="s">
        <v>1</v>
      </c>
      <c r="D193" s="289" t="s">
        <v>1</v>
      </c>
      <c r="E193" s="289" t="s">
        <v>1</v>
      </c>
      <c r="F193" s="289" t="s">
        <v>1</v>
      </c>
      <c r="G193" s="289"/>
      <c r="H193" s="289"/>
      <c r="I193" s="290" t="s">
        <v>1</v>
      </c>
      <c r="J193" s="291" t="s">
        <v>1</v>
      </c>
      <c r="K193" s="289" t="s">
        <v>1</v>
      </c>
      <c r="L193" s="290" t="s">
        <v>1</v>
      </c>
      <c r="M193" s="291" t="s">
        <v>1</v>
      </c>
    </row>
    <row r="194" spans="1:13" s="84" customFormat="1" ht="12" customHeight="1">
      <c r="A194" s="334">
        <v>1</v>
      </c>
      <c r="C194" s="293" t="s">
        <v>90</v>
      </c>
      <c r="E194" s="334">
        <v>1</v>
      </c>
      <c r="F194" s="323"/>
      <c r="G194" s="323"/>
      <c r="H194" s="323"/>
      <c r="I194" s="335"/>
      <c r="J194" s="283"/>
      <c r="K194" s="323"/>
      <c r="L194" s="335"/>
      <c r="M194" s="336"/>
    </row>
    <row r="195" spans="1:13" s="84" customFormat="1" ht="12" customHeight="1">
      <c r="A195" s="334">
        <f aca="true" t="shared" si="5" ref="A195:A217">(A194+1)</f>
        <v>2</v>
      </c>
      <c r="C195" s="84" t="s">
        <v>283</v>
      </c>
      <c r="E195" s="334">
        <f aca="true" t="shared" si="6" ref="E195:E217">(E194+1)</f>
        <v>2</v>
      </c>
      <c r="F195" s="323"/>
      <c r="G195" s="323"/>
      <c r="H195" s="325"/>
      <c r="I195" s="325"/>
      <c r="J195" s="325"/>
      <c r="K195" s="325"/>
      <c r="L195" s="325"/>
      <c r="M195" s="325"/>
    </row>
    <row r="196" spans="1:13" s="84" customFormat="1" ht="12" customHeight="1">
      <c r="A196" s="334">
        <f t="shared" si="5"/>
        <v>3</v>
      </c>
      <c r="C196" s="293" t="s">
        <v>509</v>
      </c>
      <c r="E196" s="334">
        <f t="shared" si="6"/>
        <v>3</v>
      </c>
      <c r="F196" s="323"/>
      <c r="G196" s="323"/>
      <c r="H196" s="325"/>
      <c r="I196" s="325"/>
      <c r="J196" s="325"/>
      <c r="K196" s="325"/>
      <c r="L196" s="325"/>
      <c r="M196" s="325"/>
    </row>
    <row r="197" spans="1:13" s="84" customFormat="1" ht="12" customHeight="1">
      <c r="A197" s="334">
        <f t="shared" si="5"/>
        <v>4</v>
      </c>
      <c r="C197" s="293" t="s">
        <v>510</v>
      </c>
      <c r="E197" s="334">
        <f t="shared" si="6"/>
        <v>4</v>
      </c>
      <c r="F197" s="323"/>
      <c r="G197" s="323"/>
      <c r="H197" s="325"/>
      <c r="I197" s="325"/>
      <c r="J197" s="325"/>
      <c r="K197" s="325"/>
      <c r="L197" s="325"/>
      <c r="M197" s="325"/>
    </row>
    <row r="198" spans="1:13" s="84" customFormat="1" ht="12" customHeight="1">
      <c r="A198" s="334">
        <f>(A197+1)</f>
        <v>5</v>
      </c>
      <c r="C198" s="323"/>
      <c r="E198" s="334">
        <f>(E197+1)</f>
        <v>5</v>
      </c>
      <c r="F198" s="323"/>
      <c r="G198" s="323"/>
      <c r="H198" s="325"/>
      <c r="I198" s="325"/>
      <c r="J198" s="325"/>
      <c r="K198" s="325"/>
      <c r="L198" s="325"/>
      <c r="M198" s="325"/>
    </row>
    <row r="199" spans="1:13" s="84" customFormat="1" ht="12" customHeight="1">
      <c r="A199" s="334">
        <f t="shared" si="5"/>
        <v>6</v>
      </c>
      <c r="C199" s="323"/>
      <c r="E199" s="334">
        <f t="shared" si="6"/>
        <v>6</v>
      </c>
      <c r="F199" s="323"/>
      <c r="G199" s="323"/>
      <c r="H199" s="325"/>
      <c r="I199" s="325"/>
      <c r="J199" s="325"/>
      <c r="K199" s="325"/>
      <c r="L199" s="325"/>
      <c r="M199" s="325"/>
    </row>
    <row r="200" spans="1:13" s="84" customFormat="1" ht="12" customHeight="1">
      <c r="A200" s="334">
        <f t="shared" si="5"/>
        <v>7</v>
      </c>
      <c r="C200" s="293" t="s">
        <v>91</v>
      </c>
      <c r="E200" s="334">
        <f t="shared" si="6"/>
        <v>7</v>
      </c>
      <c r="F200" s="323"/>
      <c r="G200" s="323"/>
      <c r="H200" s="325"/>
      <c r="I200" s="325"/>
      <c r="J200" s="325"/>
      <c r="K200" s="325"/>
      <c r="L200" s="325"/>
      <c r="M200" s="325"/>
    </row>
    <row r="201" spans="1:13" s="84" customFormat="1" ht="12" customHeight="1">
      <c r="A201" s="334">
        <f t="shared" si="5"/>
        <v>8</v>
      </c>
      <c r="C201" s="323"/>
      <c r="E201" s="334">
        <f t="shared" si="6"/>
        <v>8</v>
      </c>
      <c r="F201" s="323"/>
      <c r="G201" s="323"/>
      <c r="H201" s="325">
        <v>0</v>
      </c>
      <c r="I201" s="325"/>
      <c r="J201" s="325">
        <v>0</v>
      </c>
      <c r="K201" s="325"/>
      <c r="L201" s="325"/>
      <c r="M201" s="325"/>
    </row>
    <row r="202" spans="1:13" s="84" customFormat="1" ht="12" customHeight="1">
      <c r="A202" s="334">
        <f t="shared" si="5"/>
        <v>9</v>
      </c>
      <c r="C202" s="323"/>
      <c r="E202" s="334">
        <f t="shared" si="6"/>
        <v>9</v>
      </c>
      <c r="F202" s="323"/>
      <c r="G202" s="323"/>
      <c r="H202" s="325"/>
      <c r="I202" s="325"/>
      <c r="J202" s="325"/>
      <c r="K202" s="325"/>
      <c r="L202" s="325"/>
      <c r="M202" s="325"/>
    </row>
    <row r="203" spans="1:13" s="84" customFormat="1" ht="12" customHeight="1">
      <c r="A203" s="334">
        <f t="shared" si="5"/>
        <v>10</v>
      </c>
      <c r="E203" s="334">
        <f t="shared" si="6"/>
        <v>10</v>
      </c>
      <c r="F203" s="323"/>
      <c r="G203" s="323"/>
      <c r="H203" s="325"/>
      <c r="I203" s="325"/>
      <c r="J203" s="325"/>
      <c r="K203" s="325"/>
      <c r="L203" s="325"/>
      <c r="M203" s="325"/>
    </row>
    <row r="204" spans="1:13" s="84" customFormat="1" ht="12" customHeight="1">
      <c r="A204" s="334">
        <f t="shared" si="5"/>
        <v>11</v>
      </c>
      <c r="E204" s="334">
        <f t="shared" si="6"/>
        <v>11</v>
      </c>
      <c r="F204" s="323"/>
      <c r="G204" s="323"/>
      <c r="H204" s="325"/>
      <c r="I204" s="325"/>
      <c r="J204" s="325"/>
      <c r="K204" s="325"/>
      <c r="L204" s="325"/>
      <c r="M204" s="325"/>
    </row>
    <row r="205" spans="1:13" s="84" customFormat="1" ht="12" customHeight="1">
      <c r="A205" s="334">
        <f t="shared" si="5"/>
        <v>12</v>
      </c>
      <c r="E205" s="334">
        <f t="shared" si="6"/>
        <v>12</v>
      </c>
      <c r="F205" s="323"/>
      <c r="G205" s="323"/>
      <c r="H205" s="325"/>
      <c r="I205" s="325"/>
      <c r="J205" s="325"/>
      <c r="K205" s="325"/>
      <c r="L205" s="325"/>
      <c r="M205" s="325"/>
    </row>
    <row r="206" spans="1:13" s="84" customFormat="1" ht="12" customHeight="1">
      <c r="A206" s="334">
        <f t="shared" si="5"/>
        <v>13</v>
      </c>
      <c r="C206" s="323"/>
      <c r="E206" s="334">
        <f t="shared" si="6"/>
        <v>13</v>
      </c>
      <c r="F206" s="323"/>
      <c r="G206" s="323"/>
      <c r="H206" s="325"/>
      <c r="I206" s="325"/>
      <c r="J206" s="325"/>
      <c r="K206" s="325"/>
      <c r="L206" s="325"/>
      <c r="M206" s="325"/>
    </row>
    <row r="207" spans="1:13" s="84" customFormat="1" ht="12" customHeight="1">
      <c r="A207" s="334">
        <f t="shared" si="5"/>
        <v>14</v>
      </c>
      <c r="C207" s="323" t="s">
        <v>196</v>
      </c>
      <c r="E207" s="334">
        <f t="shared" si="6"/>
        <v>14</v>
      </c>
      <c r="F207" s="323"/>
      <c r="G207" s="323"/>
      <c r="H207" s="325"/>
      <c r="I207" s="325"/>
      <c r="J207" s="325"/>
      <c r="K207" s="325"/>
      <c r="L207" s="325"/>
      <c r="M207" s="325"/>
    </row>
    <row r="208" spans="1:13" s="84" customFormat="1" ht="12" customHeight="1">
      <c r="A208" s="334">
        <f t="shared" si="5"/>
        <v>15</v>
      </c>
      <c r="C208" s="323"/>
      <c r="E208" s="334">
        <f t="shared" si="6"/>
        <v>15</v>
      </c>
      <c r="F208" s="323"/>
      <c r="G208" s="323"/>
      <c r="H208" s="325">
        <v>0</v>
      </c>
      <c r="I208" s="325"/>
      <c r="J208" s="325">
        <v>0</v>
      </c>
      <c r="K208" s="325"/>
      <c r="L208" s="325"/>
      <c r="M208" s="325"/>
    </row>
    <row r="209" spans="1:13" s="84" customFormat="1" ht="12" customHeight="1">
      <c r="A209" s="334">
        <f t="shared" si="5"/>
        <v>16</v>
      </c>
      <c r="C209" s="323"/>
      <c r="E209" s="334">
        <f t="shared" si="6"/>
        <v>16</v>
      </c>
      <c r="F209" s="323"/>
      <c r="G209" s="323"/>
      <c r="H209" s="325"/>
      <c r="I209" s="325"/>
      <c r="J209" s="325"/>
      <c r="K209" s="325"/>
      <c r="L209" s="325"/>
      <c r="M209" s="325"/>
    </row>
    <row r="210" spans="1:13" s="84" customFormat="1" ht="12" customHeight="1">
      <c r="A210" s="334">
        <f t="shared" si="5"/>
        <v>17</v>
      </c>
      <c r="C210" s="323"/>
      <c r="E210" s="334">
        <f t="shared" si="6"/>
        <v>17</v>
      </c>
      <c r="F210" s="323"/>
      <c r="G210" s="323"/>
      <c r="H210" s="325"/>
      <c r="I210" s="325"/>
      <c r="J210" s="325"/>
      <c r="K210" s="325"/>
      <c r="L210" s="325"/>
      <c r="M210" s="325"/>
    </row>
    <row r="211" spans="1:13" s="84" customFormat="1" ht="12" customHeight="1">
      <c r="A211" s="334">
        <f t="shared" si="5"/>
        <v>18</v>
      </c>
      <c r="C211" s="323"/>
      <c r="E211" s="334">
        <f t="shared" si="6"/>
        <v>18</v>
      </c>
      <c r="F211" s="323"/>
      <c r="G211" s="323"/>
      <c r="H211" s="325"/>
      <c r="I211" s="325"/>
      <c r="J211" s="325"/>
      <c r="K211" s="325"/>
      <c r="L211" s="325"/>
      <c r="M211" s="325"/>
    </row>
    <row r="212" spans="1:13" s="84" customFormat="1" ht="12" customHeight="1">
      <c r="A212" s="334">
        <f t="shared" si="5"/>
        <v>19</v>
      </c>
      <c r="C212" s="323"/>
      <c r="E212" s="334">
        <f t="shared" si="6"/>
        <v>19</v>
      </c>
      <c r="F212" s="323"/>
      <c r="G212" s="323"/>
      <c r="H212" s="325"/>
      <c r="I212" s="325"/>
      <c r="J212" s="325"/>
      <c r="K212" s="325"/>
      <c r="L212" s="325"/>
      <c r="M212" s="325"/>
    </row>
    <row r="213" spans="1:13" s="84" customFormat="1" ht="12" customHeight="1">
      <c r="A213" s="334">
        <f t="shared" si="5"/>
        <v>20</v>
      </c>
      <c r="C213" s="323"/>
      <c r="E213" s="334">
        <f t="shared" si="6"/>
        <v>20</v>
      </c>
      <c r="F213" s="323"/>
      <c r="G213" s="323"/>
      <c r="H213" s="325"/>
      <c r="I213" s="325"/>
      <c r="J213" s="325"/>
      <c r="K213" s="325"/>
      <c r="L213" s="325"/>
      <c r="M213" s="325"/>
    </row>
    <row r="214" spans="1:13" s="84" customFormat="1" ht="12" customHeight="1">
      <c r="A214" s="334">
        <f t="shared" si="5"/>
        <v>21</v>
      </c>
      <c r="C214" s="323"/>
      <c r="E214" s="334">
        <f t="shared" si="6"/>
        <v>21</v>
      </c>
      <c r="F214" s="323"/>
      <c r="G214" s="323"/>
      <c r="H214" s="325"/>
      <c r="I214" s="325"/>
      <c r="J214" s="325"/>
      <c r="K214" s="325"/>
      <c r="L214" s="325"/>
      <c r="M214" s="325"/>
    </row>
    <row r="215" spans="1:13" s="84" customFormat="1" ht="12" customHeight="1">
      <c r="A215" s="334">
        <f t="shared" si="5"/>
        <v>22</v>
      </c>
      <c r="C215" s="323"/>
      <c r="E215" s="334">
        <f t="shared" si="6"/>
        <v>22</v>
      </c>
      <c r="F215" s="323"/>
      <c r="G215" s="323"/>
      <c r="H215" s="325"/>
      <c r="I215" s="325"/>
      <c r="J215" s="325"/>
      <c r="K215" s="325"/>
      <c r="L215" s="325"/>
      <c r="M215" s="325"/>
    </row>
    <row r="216" spans="1:13" s="84" customFormat="1" ht="12" customHeight="1">
      <c r="A216" s="334">
        <f t="shared" si="5"/>
        <v>23</v>
      </c>
      <c r="C216" s="323"/>
      <c r="E216" s="334">
        <f t="shared" si="6"/>
        <v>23</v>
      </c>
      <c r="F216" s="323"/>
      <c r="G216" s="323"/>
      <c r="H216" s="325"/>
      <c r="I216" s="325"/>
      <c r="J216" s="325"/>
      <c r="K216" s="325"/>
      <c r="L216" s="325"/>
      <c r="M216" s="325"/>
    </row>
    <row r="217" spans="1:13" s="84" customFormat="1" ht="12" customHeight="1">
      <c r="A217" s="334">
        <f t="shared" si="5"/>
        <v>24</v>
      </c>
      <c r="C217" s="323"/>
      <c r="E217" s="334">
        <f t="shared" si="6"/>
        <v>24</v>
      </c>
      <c r="F217" s="323"/>
      <c r="G217" s="323"/>
      <c r="H217" s="325"/>
      <c r="I217" s="325"/>
      <c r="J217" s="325"/>
      <c r="K217" s="325"/>
      <c r="L217" s="325"/>
      <c r="M217" s="325"/>
    </row>
    <row r="218" spans="1:15" s="84" customFormat="1" ht="12" customHeight="1">
      <c r="A218" s="337"/>
      <c r="E218" s="337"/>
      <c r="F218" s="326" t="s">
        <v>1</v>
      </c>
      <c r="G218" s="326"/>
      <c r="H218" s="326"/>
      <c r="I218" s="290" t="s">
        <v>1</v>
      </c>
      <c r="J218" s="291"/>
      <c r="K218" s="326"/>
      <c r="L218" s="290"/>
      <c r="M218" s="291"/>
      <c r="O218" s="338"/>
    </row>
    <row r="219" spans="1:15" s="84" customFormat="1" ht="12" customHeight="1">
      <c r="A219" s="334">
        <f>(A217+1)</f>
        <v>25</v>
      </c>
      <c r="C219" s="293" t="s">
        <v>197</v>
      </c>
      <c r="E219" s="334">
        <f>(E217+1)</f>
        <v>25</v>
      </c>
      <c r="H219" s="339">
        <f>SUM(H194:H217)</f>
        <v>0</v>
      </c>
      <c r="I219" s="340"/>
      <c r="J219" s="339">
        <f>SUM(J194:J217)</f>
        <v>0</v>
      </c>
      <c r="K219" s="339"/>
      <c r="L219" s="340"/>
      <c r="M219" s="339">
        <f>SUM(M194:M217)</f>
        <v>0</v>
      </c>
      <c r="N219" s="287"/>
      <c r="O219" s="338"/>
    </row>
    <row r="220" spans="1:15" s="286" customFormat="1" ht="12" customHeight="1">
      <c r="A220" s="334"/>
      <c r="B220" s="84"/>
      <c r="C220" s="293"/>
      <c r="D220" s="84"/>
      <c r="E220" s="334"/>
      <c r="F220" s="326" t="s">
        <v>1</v>
      </c>
      <c r="G220" s="326"/>
      <c r="H220" s="326"/>
      <c r="I220" s="290" t="s">
        <v>1</v>
      </c>
      <c r="J220" s="291"/>
      <c r="K220" s="326"/>
      <c r="L220" s="290"/>
      <c r="M220" s="291"/>
      <c r="N220" s="317"/>
      <c r="O220" s="341"/>
    </row>
    <row r="221" spans="5:15" s="84" customFormat="1" ht="12" customHeight="1">
      <c r="E221" s="313"/>
      <c r="I221" s="284"/>
      <c r="J221" s="283"/>
      <c r="L221" s="284"/>
      <c r="M221" s="283"/>
      <c r="N221" s="287"/>
      <c r="O221" s="338"/>
    </row>
    <row r="222" spans="5:13" s="84" customFormat="1" ht="12" customHeight="1">
      <c r="E222" s="313"/>
      <c r="I222" s="284"/>
      <c r="J222" s="283"/>
      <c r="L222" s="284"/>
      <c r="M222" s="283"/>
    </row>
    <row r="223" spans="9:13" s="84" customFormat="1" ht="12" customHeight="1">
      <c r="I223" s="284"/>
      <c r="J223" s="283"/>
      <c r="L223" s="284"/>
      <c r="M223" s="283"/>
    </row>
    <row r="224" spans="9:13" s="84" customFormat="1" ht="12" customHeight="1">
      <c r="I224" s="284"/>
      <c r="J224" s="283"/>
      <c r="L224" s="284"/>
      <c r="M224" s="283"/>
    </row>
    <row r="225" spans="9:13" s="84" customFormat="1" ht="12" customHeight="1">
      <c r="I225" s="284"/>
      <c r="J225" s="283"/>
      <c r="L225" s="284"/>
      <c r="M225" s="283"/>
    </row>
    <row r="226" spans="9:13" s="84" customFormat="1" ht="12" customHeight="1">
      <c r="I226" s="284"/>
      <c r="J226" s="283"/>
      <c r="L226" s="284"/>
      <c r="M226" s="283"/>
    </row>
    <row r="227" spans="9:13" s="84" customFormat="1" ht="12" customHeight="1">
      <c r="I227" s="284"/>
      <c r="J227" s="283"/>
      <c r="L227" s="284"/>
      <c r="M227" s="283"/>
    </row>
    <row r="228" spans="9:13" s="84" customFormat="1" ht="12" customHeight="1">
      <c r="I228" s="284"/>
      <c r="J228" s="283"/>
      <c r="L228" s="284"/>
      <c r="M228" s="283"/>
    </row>
    <row r="229" spans="9:13" s="84" customFormat="1" ht="12" customHeight="1">
      <c r="I229" s="284"/>
      <c r="J229" s="283"/>
      <c r="L229" s="284"/>
      <c r="M229" s="283"/>
    </row>
    <row r="230" spans="9:13" s="84" customFormat="1" ht="12" customHeight="1">
      <c r="I230" s="284"/>
      <c r="J230" s="283"/>
      <c r="L230" s="284"/>
      <c r="M230" s="283"/>
    </row>
    <row r="231" spans="9:13" s="84" customFormat="1" ht="12" customHeight="1">
      <c r="I231" s="284"/>
      <c r="J231" s="283"/>
      <c r="L231" s="284"/>
      <c r="M231" s="283"/>
    </row>
    <row r="232" spans="9:13" s="84" customFormat="1" ht="12" customHeight="1">
      <c r="I232" s="284"/>
      <c r="J232" s="283"/>
      <c r="L232" s="284"/>
      <c r="M232" s="283"/>
    </row>
    <row r="233" spans="9:13" s="84" customFormat="1" ht="12" customHeight="1">
      <c r="I233" s="284"/>
      <c r="J233" s="283"/>
      <c r="L233" s="284"/>
      <c r="M233" s="283"/>
    </row>
    <row r="234" spans="9:13" s="84" customFormat="1" ht="12" customHeight="1">
      <c r="I234" s="284"/>
      <c r="J234" s="283"/>
      <c r="L234" s="284"/>
      <c r="M234" s="283"/>
    </row>
    <row r="235" spans="9:13" s="84" customFormat="1" ht="12" customHeight="1">
      <c r="I235" s="284"/>
      <c r="J235" s="283"/>
      <c r="L235" s="284"/>
      <c r="M235" s="283"/>
    </row>
    <row r="236" spans="1:13" s="84" customFormat="1" ht="12" customHeight="1">
      <c r="A236" s="281" t="str">
        <f>$A$40</f>
        <v>Institution No.:  GFA</v>
      </c>
      <c r="B236" s="286"/>
      <c r="C236" s="286"/>
      <c r="D236" s="286"/>
      <c r="E236" s="314"/>
      <c r="F236" s="286"/>
      <c r="G236" s="286"/>
      <c r="H236" s="286"/>
      <c r="I236" s="315"/>
      <c r="J236" s="316"/>
      <c r="K236" s="286"/>
      <c r="L236" s="315"/>
      <c r="M236" s="285" t="s">
        <v>43</v>
      </c>
    </row>
    <row r="237" spans="1:13" s="84" customFormat="1" ht="12" customHeight="1">
      <c r="A237" s="441" t="s">
        <v>164</v>
      </c>
      <c r="B237" s="441"/>
      <c r="C237" s="441"/>
      <c r="D237" s="441"/>
      <c r="E237" s="441"/>
      <c r="F237" s="441"/>
      <c r="G237" s="441"/>
      <c r="H237" s="441"/>
      <c r="I237" s="441"/>
      <c r="J237" s="441"/>
      <c r="K237" s="441"/>
      <c r="L237" s="441"/>
      <c r="M237" s="441"/>
    </row>
    <row r="238" spans="1:13" s="84" customFormat="1" ht="12" customHeight="1">
      <c r="A238" s="281" t="s">
        <v>663</v>
      </c>
      <c r="C238" s="286" t="s">
        <v>664</v>
      </c>
      <c r="F238" s="318"/>
      <c r="G238" s="318"/>
      <c r="H238" s="318"/>
      <c r="I238" s="319"/>
      <c r="J238" s="322"/>
      <c r="L238" s="282"/>
      <c r="M238" s="288" t="str">
        <f>$M$3</f>
        <v>Date: 10/1/2007</v>
      </c>
    </row>
    <row r="239" spans="1:13" s="286" customFormat="1" ht="12" customHeight="1">
      <c r="A239" s="289" t="s">
        <v>1</v>
      </c>
      <c r="B239" s="289" t="s">
        <v>1</v>
      </c>
      <c r="C239" s="289" t="s">
        <v>1</v>
      </c>
      <c r="D239" s="289" t="s">
        <v>1</v>
      </c>
      <c r="E239" s="289" t="s">
        <v>1</v>
      </c>
      <c r="F239" s="289" t="s">
        <v>1</v>
      </c>
      <c r="G239" s="289"/>
      <c r="H239" s="289"/>
      <c r="I239" s="290" t="s">
        <v>1</v>
      </c>
      <c r="J239" s="291" t="s">
        <v>1</v>
      </c>
      <c r="K239" s="289" t="s">
        <v>1</v>
      </c>
      <c r="L239" s="290" t="s">
        <v>1</v>
      </c>
      <c r="M239" s="291" t="s">
        <v>1</v>
      </c>
    </row>
    <row r="240" spans="1:13" s="286" customFormat="1" ht="12" customHeight="1">
      <c r="A240" s="292" t="s">
        <v>2</v>
      </c>
      <c r="B240" s="84"/>
      <c r="C240" s="84"/>
      <c r="D240" s="84"/>
      <c r="E240" s="292" t="s">
        <v>2</v>
      </c>
      <c r="F240" s="294"/>
      <c r="G240" s="295"/>
      <c r="H240" s="294" t="s">
        <v>172</v>
      </c>
      <c r="I240" s="295"/>
      <c r="J240" s="298" t="s">
        <v>280</v>
      </c>
      <c r="K240" s="294"/>
      <c r="L240" s="295"/>
      <c r="M240" s="298" t="s">
        <v>289</v>
      </c>
    </row>
    <row r="241" spans="1:13" s="84" customFormat="1" ht="12" customHeight="1">
      <c r="A241" s="292" t="s">
        <v>4</v>
      </c>
      <c r="C241" s="299" t="s">
        <v>20</v>
      </c>
      <c r="E241" s="292" t="s">
        <v>4</v>
      </c>
      <c r="F241" s="294"/>
      <c r="G241" s="295" t="s">
        <v>6</v>
      </c>
      <c r="H241" s="298" t="s">
        <v>7</v>
      </c>
      <c r="I241" s="295" t="s">
        <v>6</v>
      </c>
      <c r="J241" s="298" t="s">
        <v>7</v>
      </c>
      <c r="K241" s="294"/>
      <c r="L241" s="295" t="s">
        <v>6</v>
      </c>
      <c r="M241" s="298" t="s">
        <v>8</v>
      </c>
    </row>
    <row r="242" spans="1:13" s="84" customFormat="1" ht="12" customHeight="1">
      <c r="A242" s="289" t="s">
        <v>1</v>
      </c>
      <c r="B242" s="289" t="s">
        <v>1</v>
      </c>
      <c r="C242" s="289" t="s">
        <v>1</v>
      </c>
      <c r="D242" s="289" t="s">
        <v>1</v>
      </c>
      <c r="E242" s="289" t="s">
        <v>1</v>
      </c>
      <c r="F242" s="289" t="s">
        <v>1</v>
      </c>
      <c r="G242" s="289"/>
      <c r="H242" s="289"/>
      <c r="I242" s="290" t="s">
        <v>1</v>
      </c>
      <c r="J242" s="291" t="s">
        <v>1</v>
      </c>
      <c r="K242" s="289" t="s">
        <v>1</v>
      </c>
      <c r="L242" s="290" t="s">
        <v>1</v>
      </c>
      <c r="M242" s="291" t="s">
        <v>1</v>
      </c>
    </row>
    <row r="243" spans="1:13" s="84" customFormat="1" ht="12" customHeight="1">
      <c r="A243" s="300">
        <v>1</v>
      </c>
      <c r="C243" s="293" t="s">
        <v>36</v>
      </c>
      <c r="E243" s="300">
        <v>1</v>
      </c>
      <c r="F243" s="323"/>
      <c r="G243" s="342"/>
      <c r="H243" s="324"/>
      <c r="I243" s="342">
        <v>0</v>
      </c>
      <c r="J243" s="324"/>
      <c r="K243" s="343"/>
      <c r="L243" s="342">
        <v>0</v>
      </c>
      <c r="M243" s="324"/>
    </row>
    <row r="244" spans="1:13" s="84" customFormat="1" ht="12" customHeight="1">
      <c r="A244" s="300">
        <v>2</v>
      </c>
      <c r="C244" s="293" t="s">
        <v>37</v>
      </c>
      <c r="E244" s="300">
        <v>2</v>
      </c>
      <c r="F244" s="323"/>
      <c r="G244" s="342"/>
      <c r="H244" s="324"/>
      <c r="I244" s="342"/>
      <c r="J244" s="324"/>
      <c r="K244" s="343"/>
      <c r="L244" s="342"/>
      <c r="M244" s="324"/>
    </row>
    <row r="245" spans="1:13" s="84" customFormat="1" ht="12" customHeight="1">
      <c r="A245" s="300">
        <v>3</v>
      </c>
      <c r="E245" s="300">
        <v>3</v>
      </c>
      <c r="F245" s="323"/>
      <c r="G245" s="342"/>
      <c r="H245" s="324"/>
      <c r="I245" s="342"/>
      <c r="J245" s="324"/>
      <c r="K245" s="343"/>
      <c r="L245" s="342"/>
      <c r="M245" s="324"/>
    </row>
    <row r="246" spans="1:13" s="84" customFormat="1" ht="12" customHeight="1">
      <c r="A246" s="300">
        <v>4</v>
      </c>
      <c r="C246" s="293" t="s">
        <v>23</v>
      </c>
      <c r="E246" s="300">
        <v>4</v>
      </c>
      <c r="F246" s="323"/>
      <c r="G246" s="342">
        <f>SUM(G243:G245)</f>
        <v>0</v>
      </c>
      <c r="H246" s="324">
        <f>SUM(H243:H245)</f>
        <v>0</v>
      </c>
      <c r="I246" s="342">
        <f>SUM(I243:I245)</f>
        <v>0</v>
      </c>
      <c r="J246" s="324">
        <f>SUM(J243:J245)</f>
        <v>0</v>
      </c>
      <c r="K246" s="304"/>
      <c r="L246" s="342">
        <f>SUM(L243:L245)</f>
        <v>0</v>
      </c>
      <c r="M246" s="324">
        <f>SUM(M243:M245)</f>
        <v>0</v>
      </c>
    </row>
    <row r="247" spans="1:13" s="84" customFormat="1" ht="12" customHeight="1">
      <c r="A247" s="300">
        <v>5</v>
      </c>
      <c r="E247" s="300">
        <v>5</v>
      </c>
      <c r="F247" s="323"/>
      <c r="G247" s="342"/>
      <c r="H247" s="324"/>
      <c r="I247" s="342"/>
      <c r="J247" s="324"/>
      <c r="K247" s="304"/>
      <c r="L247" s="342"/>
      <c r="M247" s="324"/>
    </row>
    <row r="248" spans="1:13" s="84" customFormat="1" ht="12" customHeight="1">
      <c r="A248" s="300">
        <v>6</v>
      </c>
      <c r="E248" s="300">
        <v>6</v>
      </c>
      <c r="F248" s="323"/>
      <c r="G248" s="342"/>
      <c r="H248" s="324"/>
      <c r="I248" s="342"/>
      <c r="J248" s="324"/>
      <c r="K248" s="304"/>
      <c r="L248" s="342"/>
      <c r="M248" s="324"/>
    </row>
    <row r="249" spans="1:13" s="84" customFormat="1" ht="12" customHeight="1">
      <c r="A249" s="300">
        <v>7</v>
      </c>
      <c r="C249" s="293" t="s">
        <v>25</v>
      </c>
      <c r="E249" s="300">
        <v>7</v>
      </c>
      <c r="F249" s="323"/>
      <c r="G249" s="342"/>
      <c r="H249" s="324"/>
      <c r="I249" s="342">
        <v>0</v>
      </c>
      <c r="J249" s="324"/>
      <c r="K249" s="343"/>
      <c r="L249" s="342">
        <v>0</v>
      </c>
      <c r="M249" s="324"/>
    </row>
    <row r="250" spans="1:13" s="84" customFormat="1" ht="12" customHeight="1">
      <c r="A250" s="300">
        <v>8</v>
      </c>
      <c r="C250" s="293" t="s">
        <v>26</v>
      </c>
      <c r="E250" s="300">
        <v>8</v>
      </c>
      <c r="F250" s="323"/>
      <c r="G250" s="342"/>
      <c r="H250" s="324"/>
      <c r="I250" s="342"/>
      <c r="J250" s="324"/>
      <c r="K250" s="343"/>
      <c r="L250" s="342"/>
      <c r="M250" s="324"/>
    </row>
    <row r="251" spans="1:13" s="84" customFormat="1" ht="12" customHeight="1">
      <c r="A251" s="300">
        <v>9</v>
      </c>
      <c r="C251" s="293" t="s">
        <v>27</v>
      </c>
      <c r="E251" s="300">
        <v>9</v>
      </c>
      <c r="F251" s="323"/>
      <c r="G251" s="342">
        <f>SUM(G249:G250)</f>
        <v>0</v>
      </c>
      <c r="H251" s="324">
        <f>SUM(H249:H250)</f>
        <v>0</v>
      </c>
      <c r="I251" s="342">
        <f>SUM(I249:I250)</f>
        <v>0</v>
      </c>
      <c r="J251" s="324">
        <f>SUM(J249:J250)</f>
        <v>0</v>
      </c>
      <c r="K251" s="304"/>
      <c r="L251" s="342">
        <f>SUM(L249:L250)</f>
        <v>0</v>
      </c>
      <c r="M251" s="324">
        <f>SUM(M249:M250)</f>
        <v>0</v>
      </c>
    </row>
    <row r="252" spans="1:13" s="84" customFormat="1" ht="12" customHeight="1">
      <c r="A252" s="300">
        <v>10</v>
      </c>
      <c r="E252" s="300">
        <v>10</v>
      </c>
      <c r="F252" s="323"/>
      <c r="G252" s="342"/>
      <c r="H252" s="324"/>
      <c r="I252" s="342"/>
      <c r="J252" s="324"/>
      <c r="K252" s="304"/>
      <c r="L252" s="342"/>
      <c r="M252" s="324"/>
    </row>
    <row r="253" spans="1:13" s="84" customFormat="1" ht="12" customHeight="1">
      <c r="A253" s="300">
        <v>11</v>
      </c>
      <c r="C253" s="293" t="s">
        <v>28</v>
      </c>
      <c r="E253" s="300">
        <v>11</v>
      </c>
      <c r="F253" s="323"/>
      <c r="G253" s="342">
        <f>SUM(G251,G246)</f>
        <v>0</v>
      </c>
      <c r="H253" s="324">
        <f>SUM(H251,H246)</f>
        <v>0</v>
      </c>
      <c r="I253" s="342">
        <f>SUM(I251,I246)</f>
        <v>0</v>
      </c>
      <c r="J253" s="324">
        <f>SUM(J251,J246)</f>
        <v>0</v>
      </c>
      <c r="K253" s="304"/>
      <c r="L253" s="342">
        <f>SUM(L251,L246)</f>
        <v>0</v>
      </c>
      <c r="M253" s="324">
        <f>SUM(M251,M246)</f>
        <v>0</v>
      </c>
    </row>
    <row r="254" spans="1:13" s="84" customFormat="1" ht="12" customHeight="1">
      <c r="A254" s="300">
        <v>12</v>
      </c>
      <c r="E254" s="300">
        <v>12</v>
      </c>
      <c r="F254" s="323"/>
      <c r="G254" s="342"/>
      <c r="H254" s="324"/>
      <c r="I254" s="342"/>
      <c r="J254" s="324"/>
      <c r="K254" s="304"/>
      <c r="L254" s="342"/>
      <c r="M254" s="324"/>
    </row>
    <row r="255" spans="1:13" s="84" customFormat="1" ht="12" customHeight="1">
      <c r="A255" s="300">
        <v>13</v>
      </c>
      <c r="C255" s="293" t="s">
        <v>38</v>
      </c>
      <c r="E255" s="300">
        <v>13</v>
      </c>
      <c r="F255" s="323"/>
      <c r="G255" s="342"/>
      <c r="H255" s="324"/>
      <c r="I255" s="342"/>
      <c r="J255" s="324"/>
      <c r="K255" s="343"/>
      <c r="L255" s="342"/>
      <c r="M255" s="324"/>
    </row>
    <row r="256" spans="1:13" s="84" customFormat="1" ht="12" customHeight="1">
      <c r="A256" s="300">
        <v>14</v>
      </c>
      <c r="E256" s="300">
        <v>14</v>
      </c>
      <c r="F256" s="323"/>
      <c r="G256" s="342"/>
      <c r="H256" s="324"/>
      <c r="I256" s="342"/>
      <c r="J256" s="324"/>
      <c r="K256" s="343"/>
      <c r="L256" s="342"/>
      <c r="M256" s="324"/>
    </row>
    <row r="257" spans="1:13" s="84" customFormat="1" ht="12" customHeight="1">
      <c r="A257" s="300">
        <v>15</v>
      </c>
      <c r="C257" s="293" t="s">
        <v>30</v>
      </c>
      <c r="E257" s="300">
        <v>15</v>
      </c>
      <c r="F257" s="323"/>
      <c r="G257" s="342"/>
      <c r="H257" s="324"/>
      <c r="I257" s="342"/>
      <c r="J257" s="324"/>
      <c r="K257" s="343"/>
      <c r="L257" s="342"/>
      <c r="M257" s="324"/>
    </row>
    <row r="258" spans="1:13" s="84" customFormat="1" ht="12" customHeight="1">
      <c r="A258" s="300">
        <v>16</v>
      </c>
      <c r="C258" s="293" t="s">
        <v>31</v>
      </c>
      <c r="E258" s="300">
        <v>16</v>
      </c>
      <c r="F258" s="323"/>
      <c r="G258" s="342"/>
      <c r="H258" s="324">
        <v>429842</v>
      </c>
      <c r="I258" s="342"/>
      <c r="J258" s="324">
        <v>800000</v>
      </c>
      <c r="K258" s="343"/>
      <c r="L258" s="342"/>
      <c r="M258" s="324">
        <v>0</v>
      </c>
    </row>
    <row r="259" spans="1:13" s="84" customFormat="1" ht="12" customHeight="1">
      <c r="A259" s="300">
        <v>17</v>
      </c>
      <c r="C259" s="293" t="s">
        <v>32</v>
      </c>
      <c r="E259" s="300">
        <v>17</v>
      </c>
      <c r="F259" s="323"/>
      <c r="G259" s="342"/>
      <c r="H259" s="324"/>
      <c r="I259" s="342"/>
      <c r="J259" s="324"/>
      <c r="K259" s="343"/>
      <c r="L259" s="342"/>
      <c r="M259" s="324"/>
    </row>
    <row r="260" spans="1:13" s="84" customFormat="1" ht="12" customHeight="1">
      <c r="A260" s="300">
        <v>18</v>
      </c>
      <c r="E260" s="300">
        <v>18</v>
      </c>
      <c r="F260" s="323"/>
      <c r="G260" s="342"/>
      <c r="H260" s="324"/>
      <c r="I260" s="342"/>
      <c r="J260" s="324"/>
      <c r="K260" s="343"/>
      <c r="L260" s="342"/>
      <c r="M260" s="324"/>
    </row>
    <row r="261" spans="1:13" s="84" customFormat="1" ht="12" customHeight="1">
      <c r="A261" s="300">
        <v>19</v>
      </c>
      <c r="C261" s="293" t="s">
        <v>42</v>
      </c>
      <c r="E261" s="300">
        <v>19</v>
      </c>
      <c r="F261" s="323"/>
      <c r="G261" s="342"/>
      <c r="H261" s="324">
        <v>0</v>
      </c>
      <c r="I261" s="342"/>
      <c r="J261" s="324">
        <v>0</v>
      </c>
      <c r="K261" s="343"/>
      <c r="L261" s="342"/>
      <c r="M261" s="324">
        <v>0</v>
      </c>
    </row>
    <row r="262" spans="1:13" s="84" customFormat="1" ht="12" customHeight="1">
      <c r="A262" s="300">
        <v>20</v>
      </c>
      <c r="C262" s="293"/>
      <c r="E262" s="300">
        <v>20</v>
      </c>
      <c r="F262" s="323"/>
      <c r="G262" s="342"/>
      <c r="H262" s="324"/>
      <c r="I262" s="342"/>
      <c r="J262" s="324"/>
      <c r="K262" s="343"/>
      <c r="L262" s="342"/>
      <c r="M262" s="324"/>
    </row>
    <row r="263" spans="1:13" s="84" customFormat="1" ht="12" customHeight="1">
      <c r="A263" s="300">
        <v>21</v>
      </c>
      <c r="C263" s="293"/>
      <c r="E263" s="300">
        <v>21</v>
      </c>
      <c r="F263" s="323"/>
      <c r="G263" s="342"/>
      <c r="H263" s="324"/>
      <c r="I263" s="342"/>
      <c r="J263" s="324"/>
      <c r="K263" s="343"/>
      <c r="L263" s="342"/>
      <c r="M263" s="324"/>
    </row>
    <row r="264" spans="1:13" s="84" customFormat="1" ht="12" customHeight="1">
      <c r="A264" s="300">
        <v>22</v>
      </c>
      <c r="C264" s="293"/>
      <c r="E264" s="300">
        <v>22</v>
      </c>
      <c r="F264" s="323"/>
      <c r="G264" s="342"/>
      <c r="H264" s="324"/>
      <c r="I264" s="342"/>
      <c r="J264" s="324"/>
      <c r="K264" s="343"/>
      <c r="L264" s="342"/>
      <c r="M264" s="324"/>
    </row>
    <row r="265" spans="1:13" s="84" customFormat="1" ht="12" customHeight="1">
      <c r="A265" s="300">
        <v>23</v>
      </c>
      <c r="C265" s="293"/>
      <c r="E265" s="300">
        <v>23</v>
      </c>
      <c r="F265" s="323"/>
      <c r="G265" s="342"/>
      <c r="H265" s="324"/>
      <c r="I265" s="342"/>
      <c r="J265" s="324"/>
      <c r="K265" s="343"/>
      <c r="L265" s="342"/>
      <c r="M265" s="324"/>
    </row>
    <row r="266" spans="1:13" s="84" customFormat="1" ht="12" customHeight="1">
      <c r="A266" s="300">
        <v>24</v>
      </c>
      <c r="C266" s="293"/>
      <c r="E266" s="300">
        <v>24</v>
      </c>
      <c r="F266" s="323"/>
      <c r="G266" s="344"/>
      <c r="H266" s="325"/>
      <c r="I266" s="344"/>
      <c r="J266" s="325"/>
      <c r="K266" s="323"/>
      <c r="L266" s="344"/>
      <c r="M266" s="325"/>
    </row>
    <row r="267" spans="5:13" s="84" customFormat="1" ht="12" customHeight="1">
      <c r="E267" s="313"/>
      <c r="F267" s="326" t="s">
        <v>1</v>
      </c>
      <c r="G267" s="345"/>
      <c r="H267" s="326"/>
      <c r="I267" s="326" t="s">
        <v>1</v>
      </c>
      <c r="J267" s="291" t="s">
        <v>1</v>
      </c>
      <c r="K267" s="326" t="s">
        <v>1</v>
      </c>
      <c r="L267" s="326" t="s">
        <v>1</v>
      </c>
      <c r="M267" s="291" t="s">
        <v>1</v>
      </c>
    </row>
    <row r="268" spans="1:13" s="84" customFormat="1" ht="12" customHeight="1">
      <c r="A268" s="300">
        <v>25</v>
      </c>
      <c r="C268" s="293" t="s">
        <v>667</v>
      </c>
      <c r="E268" s="300">
        <v>25</v>
      </c>
      <c r="G268" s="346">
        <f>SUM(G253:G266)</f>
        <v>0</v>
      </c>
      <c r="H268" s="339">
        <f>SUM(H253:H266)</f>
        <v>429842</v>
      </c>
      <c r="I268" s="346">
        <f>SUM(I253:I266)</f>
        <v>0</v>
      </c>
      <c r="J268" s="339">
        <f>SUM(J253:J266)</f>
        <v>800000</v>
      </c>
      <c r="K268" s="304"/>
      <c r="L268" s="346">
        <f>SUM(L253:L266)</f>
        <v>0</v>
      </c>
      <c r="M268" s="339">
        <f>SUM(M253:M266)</f>
        <v>0</v>
      </c>
    </row>
    <row r="269" spans="5:13" s="84" customFormat="1" ht="12" customHeight="1">
      <c r="E269" s="313"/>
      <c r="F269" s="326" t="s">
        <v>1</v>
      </c>
      <c r="G269" s="326"/>
      <c r="H269" s="326"/>
      <c r="I269" s="290"/>
      <c r="J269" s="291"/>
      <c r="K269" s="326"/>
      <c r="L269" s="290"/>
      <c r="M269" s="291"/>
    </row>
    <row r="270" spans="1:13" s="84" customFormat="1" ht="12" customHeight="1">
      <c r="A270" s="293"/>
      <c r="I270" s="284"/>
      <c r="J270" s="283"/>
      <c r="L270" s="284"/>
      <c r="M270" s="283"/>
    </row>
    <row r="271" spans="9:13" s="84" customFormat="1" ht="12" customHeight="1">
      <c r="I271" s="284"/>
      <c r="J271" s="283"/>
      <c r="L271" s="284"/>
      <c r="M271" s="283"/>
    </row>
    <row r="272" spans="9:13" s="84" customFormat="1" ht="12" customHeight="1">
      <c r="I272" s="284"/>
      <c r="J272" s="283"/>
      <c r="L272" s="284"/>
      <c r="M272" s="283"/>
    </row>
    <row r="273" spans="9:13" s="84" customFormat="1" ht="12" customHeight="1">
      <c r="I273" s="284"/>
      <c r="J273" s="283"/>
      <c r="L273" s="284"/>
      <c r="M273" s="283"/>
    </row>
    <row r="274" spans="9:13" s="84" customFormat="1" ht="12" customHeight="1">
      <c r="I274" s="284"/>
      <c r="J274" s="283"/>
      <c r="L274" s="284"/>
      <c r="M274" s="283"/>
    </row>
    <row r="275" spans="9:13" s="84" customFormat="1" ht="12" customHeight="1">
      <c r="I275" s="284"/>
      <c r="J275" s="283"/>
      <c r="L275" s="284"/>
      <c r="M275" s="283"/>
    </row>
    <row r="276" spans="9:13" s="84" customFormat="1" ht="12" customHeight="1">
      <c r="I276" s="284"/>
      <c r="J276" s="283"/>
      <c r="L276" s="284"/>
      <c r="M276" s="283"/>
    </row>
    <row r="277" spans="9:13" s="84" customFormat="1" ht="12" customHeight="1">
      <c r="I277" s="284"/>
      <c r="J277" s="283"/>
      <c r="L277" s="284"/>
      <c r="M277" s="283"/>
    </row>
    <row r="278" spans="9:13" s="84" customFormat="1" ht="12" customHeight="1">
      <c r="I278" s="284"/>
      <c r="J278" s="283"/>
      <c r="L278" s="284"/>
      <c r="M278" s="283"/>
    </row>
    <row r="279" spans="9:13" s="84" customFormat="1" ht="12" customHeight="1">
      <c r="I279" s="284"/>
      <c r="J279" s="283"/>
      <c r="L279" s="284"/>
      <c r="M279" s="283"/>
    </row>
    <row r="280" spans="9:13" s="84" customFormat="1" ht="12" customHeight="1">
      <c r="I280" s="284"/>
      <c r="J280" s="283"/>
      <c r="L280" s="284"/>
      <c r="M280" s="283"/>
    </row>
    <row r="281" spans="9:13" s="84" customFormat="1" ht="12" customHeight="1">
      <c r="I281" s="284"/>
      <c r="J281" s="283"/>
      <c r="L281" s="284"/>
      <c r="M281" s="283"/>
    </row>
    <row r="282" spans="9:13" s="84" customFormat="1" ht="12" customHeight="1">
      <c r="I282" s="284"/>
      <c r="J282" s="283"/>
      <c r="L282" s="284"/>
      <c r="M282" s="283"/>
    </row>
    <row r="283" spans="9:13" s="84" customFormat="1" ht="12" customHeight="1">
      <c r="I283" s="284"/>
      <c r="J283" s="283"/>
      <c r="L283" s="284"/>
      <c r="M283" s="283"/>
    </row>
    <row r="284" spans="9:13" s="84" customFormat="1" ht="12" customHeight="1">
      <c r="I284" s="284"/>
      <c r="J284" s="283"/>
      <c r="L284" s="284"/>
      <c r="M284" s="283"/>
    </row>
    <row r="285" spans="1:13" s="84" customFormat="1" ht="12" customHeight="1">
      <c r="A285" s="281" t="str">
        <f>$A$40</f>
        <v>Institution No.:  GFA</v>
      </c>
      <c r="B285" s="286"/>
      <c r="C285" s="286"/>
      <c r="D285" s="286"/>
      <c r="E285" s="314"/>
      <c r="F285" s="286"/>
      <c r="G285" s="286"/>
      <c r="H285" s="286"/>
      <c r="I285" s="315"/>
      <c r="J285" s="316"/>
      <c r="K285" s="286"/>
      <c r="L285" s="315"/>
      <c r="M285" s="285" t="s">
        <v>53</v>
      </c>
    </row>
    <row r="286" spans="1:13" s="84" customFormat="1" ht="12" customHeight="1">
      <c r="A286" s="441" t="s">
        <v>166</v>
      </c>
      <c r="B286" s="441"/>
      <c r="C286" s="441"/>
      <c r="D286" s="441"/>
      <c r="E286" s="441"/>
      <c r="F286" s="441"/>
      <c r="G286" s="441"/>
      <c r="H286" s="441"/>
      <c r="I286" s="441"/>
      <c r="J286" s="441"/>
      <c r="K286" s="441"/>
      <c r="L286" s="441"/>
      <c r="M286" s="441"/>
    </row>
    <row r="287" spans="1:13" s="84" customFormat="1" ht="12" customHeight="1">
      <c r="A287" s="281" t="s">
        <v>663</v>
      </c>
      <c r="C287" s="286" t="s">
        <v>664</v>
      </c>
      <c r="F287" s="318"/>
      <c r="G287" s="318"/>
      <c r="H287" s="318"/>
      <c r="I287" s="319"/>
      <c r="J287" s="320"/>
      <c r="L287" s="282"/>
      <c r="M287" s="288" t="str">
        <f>$M$3</f>
        <v>Date: 10/1/2007</v>
      </c>
    </row>
    <row r="288" spans="1:13" s="84" customFormat="1" ht="12" customHeight="1">
      <c r="A288" s="289" t="s">
        <v>1</v>
      </c>
      <c r="B288" s="289" t="s">
        <v>1</v>
      </c>
      <c r="C288" s="289" t="s">
        <v>1</v>
      </c>
      <c r="D288" s="289" t="s">
        <v>1</v>
      </c>
      <c r="E288" s="289" t="s">
        <v>1</v>
      </c>
      <c r="F288" s="289" t="s">
        <v>1</v>
      </c>
      <c r="G288" s="289"/>
      <c r="H288" s="289"/>
      <c r="I288" s="290" t="s">
        <v>1</v>
      </c>
      <c r="J288" s="291" t="s">
        <v>1</v>
      </c>
      <c r="K288" s="289" t="s">
        <v>1</v>
      </c>
      <c r="L288" s="290" t="s">
        <v>1</v>
      </c>
      <c r="M288" s="291" t="s">
        <v>1</v>
      </c>
    </row>
    <row r="289" spans="1:13" s="84" customFormat="1" ht="12" customHeight="1">
      <c r="A289" s="292" t="s">
        <v>2</v>
      </c>
      <c r="E289" s="292" t="s">
        <v>2</v>
      </c>
      <c r="H289" s="294" t="s">
        <v>172</v>
      </c>
      <c r="I289" s="295"/>
      <c r="J289" s="298" t="s">
        <v>280</v>
      </c>
      <c r="K289" s="294"/>
      <c r="L289" s="295"/>
      <c r="M289" s="298" t="s">
        <v>289</v>
      </c>
    </row>
    <row r="290" spans="1:13" s="84" customFormat="1" ht="12" customHeight="1">
      <c r="A290" s="292" t="s">
        <v>4</v>
      </c>
      <c r="C290" s="299" t="s">
        <v>20</v>
      </c>
      <c r="E290" s="292" t="s">
        <v>4</v>
      </c>
      <c r="H290" s="298" t="s">
        <v>7</v>
      </c>
      <c r="I290" s="282"/>
      <c r="J290" s="298" t="s">
        <v>7</v>
      </c>
      <c r="L290" s="282"/>
      <c r="M290" s="298" t="s">
        <v>8</v>
      </c>
    </row>
    <row r="291" spans="1:13" s="84" customFormat="1" ht="12" customHeight="1">
      <c r="A291" s="289" t="s">
        <v>1</v>
      </c>
      <c r="B291" s="289" t="s">
        <v>1</v>
      </c>
      <c r="C291" s="289" t="s">
        <v>1</v>
      </c>
      <c r="D291" s="289" t="s">
        <v>1</v>
      </c>
      <c r="E291" s="289" t="s">
        <v>1</v>
      </c>
      <c r="F291" s="289" t="s">
        <v>1</v>
      </c>
      <c r="G291" s="289"/>
      <c r="H291" s="289"/>
      <c r="I291" s="290" t="s">
        <v>1</v>
      </c>
      <c r="J291" s="291" t="s">
        <v>1</v>
      </c>
      <c r="K291" s="289" t="s">
        <v>1</v>
      </c>
      <c r="L291" s="290" t="s">
        <v>1</v>
      </c>
      <c r="M291" s="291" t="s">
        <v>1</v>
      </c>
    </row>
    <row r="292" spans="1:13" s="84" customFormat="1" ht="12" customHeight="1">
      <c r="A292" s="300">
        <v>1</v>
      </c>
      <c r="C292" s="293" t="s">
        <v>54</v>
      </c>
      <c r="E292" s="300">
        <v>1</v>
      </c>
      <c r="F292" s="323"/>
      <c r="G292" s="323"/>
      <c r="H292" s="324">
        <v>3333</v>
      </c>
      <c r="I292" s="324"/>
      <c r="J292" s="324"/>
      <c r="K292" s="324"/>
      <c r="L292" s="324"/>
      <c r="M292" s="324"/>
    </row>
    <row r="293" spans="1:13" s="84" customFormat="1" ht="12" customHeight="1">
      <c r="A293" s="300">
        <f aca="true" t="shared" si="7" ref="A293:A310">(A292+1)</f>
        <v>2</v>
      </c>
      <c r="C293" s="323"/>
      <c r="E293" s="300">
        <f aca="true" t="shared" si="8" ref="E293:E310">(E292+1)</f>
        <v>2</v>
      </c>
      <c r="F293" s="323"/>
      <c r="G293" s="323"/>
      <c r="H293" s="323"/>
      <c r="I293" s="335"/>
      <c r="J293" s="336"/>
      <c r="K293" s="323"/>
      <c r="L293" s="335"/>
      <c r="M293" s="336"/>
    </row>
    <row r="294" spans="1:13" s="84" customFormat="1" ht="12" customHeight="1">
      <c r="A294" s="300">
        <f t="shared" si="7"/>
        <v>3</v>
      </c>
      <c r="C294" s="323"/>
      <c r="E294" s="300">
        <f t="shared" si="8"/>
        <v>3</v>
      </c>
      <c r="F294" s="323"/>
      <c r="G294" s="323"/>
      <c r="H294" s="323"/>
      <c r="I294" s="335"/>
      <c r="J294" s="336"/>
      <c r="K294" s="323"/>
      <c r="L294" s="335"/>
      <c r="M294" s="336"/>
    </row>
    <row r="295" spans="1:13" s="84" customFormat="1" ht="12" customHeight="1">
      <c r="A295" s="300">
        <f t="shared" si="7"/>
        <v>4</v>
      </c>
      <c r="C295" s="323"/>
      <c r="E295" s="300">
        <f t="shared" si="8"/>
        <v>4</v>
      </c>
      <c r="F295" s="323"/>
      <c r="G295" s="323"/>
      <c r="H295" s="323"/>
      <c r="I295" s="335"/>
      <c r="J295" s="336"/>
      <c r="K295" s="323"/>
      <c r="L295" s="335"/>
      <c r="M295" s="336"/>
    </row>
    <row r="296" spans="1:13" s="84" customFormat="1" ht="12" customHeight="1">
      <c r="A296" s="300">
        <f t="shared" si="7"/>
        <v>5</v>
      </c>
      <c r="C296" s="323"/>
      <c r="E296" s="300">
        <f t="shared" si="8"/>
        <v>5</v>
      </c>
      <c r="F296" s="323"/>
      <c r="G296" s="323"/>
      <c r="H296" s="323"/>
      <c r="I296" s="335"/>
      <c r="J296" s="336"/>
      <c r="K296" s="323"/>
      <c r="L296" s="335"/>
      <c r="M296" s="336"/>
    </row>
    <row r="297" spans="1:13" s="84" customFormat="1" ht="12" customHeight="1">
      <c r="A297" s="300">
        <f t="shared" si="7"/>
        <v>6</v>
      </c>
      <c r="C297" s="323"/>
      <c r="E297" s="300">
        <f t="shared" si="8"/>
        <v>6</v>
      </c>
      <c r="F297" s="323"/>
      <c r="G297" s="323"/>
      <c r="H297" s="323"/>
      <c r="I297" s="335"/>
      <c r="J297" s="336"/>
      <c r="K297" s="323"/>
      <c r="L297" s="335"/>
      <c r="M297" s="336"/>
    </row>
    <row r="298" spans="1:13" s="84" customFormat="1" ht="12" customHeight="1">
      <c r="A298" s="300">
        <f t="shared" si="7"/>
        <v>7</v>
      </c>
      <c r="C298" s="323"/>
      <c r="E298" s="300">
        <f t="shared" si="8"/>
        <v>7</v>
      </c>
      <c r="F298" s="323"/>
      <c r="G298" s="323"/>
      <c r="H298" s="323"/>
      <c r="I298" s="335"/>
      <c r="J298" s="336"/>
      <c r="K298" s="323"/>
      <c r="L298" s="335"/>
      <c r="M298" s="336"/>
    </row>
    <row r="299" spans="1:13" s="84" customFormat="1" ht="12" customHeight="1">
      <c r="A299" s="300">
        <f t="shared" si="7"/>
        <v>8</v>
      </c>
      <c r="C299" s="323"/>
      <c r="E299" s="300">
        <f t="shared" si="8"/>
        <v>8</v>
      </c>
      <c r="F299" s="323"/>
      <c r="G299" s="323"/>
      <c r="H299" s="323"/>
      <c r="I299" s="335"/>
      <c r="J299" s="336"/>
      <c r="K299" s="323"/>
      <c r="L299" s="335"/>
      <c r="M299" s="336"/>
    </row>
    <row r="300" spans="1:13" s="84" customFormat="1" ht="12" customHeight="1">
      <c r="A300" s="300">
        <f t="shared" si="7"/>
        <v>9</v>
      </c>
      <c r="C300" s="323"/>
      <c r="E300" s="300">
        <f t="shared" si="8"/>
        <v>9</v>
      </c>
      <c r="F300" s="323"/>
      <c r="G300" s="323"/>
      <c r="H300" s="323"/>
      <c r="I300" s="335"/>
      <c r="J300" s="336"/>
      <c r="K300" s="323"/>
      <c r="L300" s="335"/>
      <c r="M300" s="336"/>
    </row>
    <row r="301" spans="1:13" s="84" customFormat="1" ht="12" customHeight="1">
      <c r="A301" s="300">
        <f t="shared" si="7"/>
        <v>10</v>
      </c>
      <c r="C301" s="323"/>
      <c r="E301" s="300">
        <f t="shared" si="8"/>
        <v>10</v>
      </c>
      <c r="F301" s="323"/>
      <c r="G301" s="323"/>
      <c r="H301" s="323"/>
      <c r="I301" s="335"/>
      <c r="J301" s="336"/>
      <c r="K301" s="323"/>
      <c r="L301" s="335"/>
      <c r="M301" s="336"/>
    </row>
    <row r="302" spans="1:13" s="84" customFormat="1" ht="12" customHeight="1">
      <c r="A302" s="300">
        <f t="shared" si="7"/>
        <v>11</v>
      </c>
      <c r="C302" s="323"/>
      <c r="E302" s="300">
        <f t="shared" si="8"/>
        <v>11</v>
      </c>
      <c r="I302" s="335"/>
      <c r="J302" s="336"/>
      <c r="K302" s="323"/>
      <c r="L302" s="335"/>
      <c r="M302" s="336"/>
    </row>
    <row r="303" spans="1:13" s="84" customFormat="1" ht="12" customHeight="1">
      <c r="A303" s="300">
        <f t="shared" si="7"/>
        <v>12</v>
      </c>
      <c r="C303" s="323"/>
      <c r="E303" s="300">
        <f t="shared" si="8"/>
        <v>12</v>
      </c>
      <c r="I303" s="335"/>
      <c r="J303" s="336"/>
      <c r="K303" s="323"/>
      <c r="L303" s="335"/>
      <c r="M303" s="336"/>
    </row>
    <row r="304" spans="1:13" s="84" customFormat="1" ht="12" customHeight="1">
      <c r="A304" s="300">
        <f t="shared" si="7"/>
        <v>13</v>
      </c>
      <c r="C304" s="323"/>
      <c r="E304" s="300">
        <f t="shared" si="8"/>
        <v>13</v>
      </c>
      <c r="F304" s="323"/>
      <c r="G304" s="323"/>
      <c r="H304" s="323"/>
      <c r="I304" s="335"/>
      <c r="J304" s="336"/>
      <c r="K304" s="323"/>
      <c r="L304" s="335"/>
      <c r="M304" s="336"/>
    </row>
    <row r="305" spans="1:13" s="84" customFormat="1" ht="12" customHeight="1">
      <c r="A305" s="300">
        <f t="shared" si="7"/>
        <v>14</v>
      </c>
      <c r="C305" s="323"/>
      <c r="E305" s="300">
        <f t="shared" si="8"/>
        <v>14</v>
      </c>
      <c r="F305" s="323"/>
      <c r="G305" s="323"/>
      <c r="H305" s="323"/>
      <c r="I305" s="335"/>
      <c r="J305" s="336"/>
      <c r="K305" s="323"/>
      <c r="L305" s="335"/>
      <c r="M305" s="336"/>
    </row>
    <row r="306" spans="1:13" s="84" customFormat="1" ht="12" customHeight="1">
      <c r="A306" s="300">
        <f t="shared" si="7"/>
        <v>15</v>
      </c>
      <c r="C306" s="323"/>
      <c r="E306" s="300">
        <f t="shared" si="8"/>
        <v>15</v>
      </c>
      <c r="F306" s="323"/>
      <c r="G306" s="323"/>
      <c r="H306" s="323"/>
      <c r="I306" s="335"/>
      <c r="J306" s="336"/>
      <c r="K306" s="323"/>
      <c r="L306" s="335"/>
      <c r="M306" s="336"/>
    </row>
    <row r="307" spans="1:13" s="84" customFormat="1" ht="12" customHeight="1">
      <c r="A307" s="300">
        <f t="shared" si="7"/>
        <v>16</v>
      </c>
      <c r="C307" s="323"/>
      <c r="E307" s="300">
        <f t="shared" si="8"/>
        <v>16</v>
      </c>
      <c r="F307" s="323"/>
      <c r="G307" s="323"/>
      <c r="H307" s="323"/>
      <c r="I307" s="335"/>
      <c r="J307" s="336"/>
      <c r="K307" s="323"/>
      <c r="L307" s="335"/>
      <c r="M307" s="336"/>
    </row>
    <row r="308" spans="1:13" s="84" customFormat="1" ht="12" customHeight="1">
      <c r="A308" s="300">
        <f t="shared" si="7"/>
        <v>17</v>
      </c>
      <c r="C308" s="323"/>
      <c r="E308" s="300">
        <f t="shared" si="8"/>
        <v>17</v>
      </c>
      <c r="F308" s="323"/>
      <c r="G308" s="323"/>
      <c r="H308" s="323"/>
      <c r="I308" s="335"/>
      <c r="J308" s="336"/>
      <c r="K308" s="323"/>
      <c r="L308" s="335"/>
      <c r="M308" s="336"/>
    </row>
    <row r="309" spans="1:13" s="84" customFormat="1" ht="12" customHeight="1">
      <c r="A309" s="300">
        <f t="shared" si="7"/>
        <v>18</v>
      </c>
      <c r="C309" s="323"/>
      <c r="E309" s="300">
        <f t="shared" si="8"/>
        <v>18</v>
      </c>
      <c r="F309" s="323"/>
      <c r="G309" s="323"/>
      <c r="H309" s="323"/>
      <c r="I309" s="335"/>
      <c r="J309" s="336"/>
      <c r="K309" s="323"/>
      <c r="L309" s="335"/>
      <c r="M309" s="336"/>
    </row>
    <row r="310" spans="1:13" s="84" customFormat="1" ht="12" customHeight="1">
      <c r="A310" s="300">
        <f t="shared" si="7"/>
        <v>19</v>
      </c>
      <c r="C310" s="323"/>
      <c r="E310" s="300">
        <f t="shared" si="8"/>
        <v>19</v>
      </c>
      <c r="F310" s="323"/>
      <c r="G310" s="323"/>
      <c r="H310" s="323"/>
      <c r="I310" s="335"/>
      <c r="J310" s="336"/>
      <c r="K310" s="323"/>
      <c r="L310" s="335"/>
      <c r="M310" s="336"/>
    </row>
    <row r="311" spans="1:13" s="84" customFormat="1" ht="12" customHeight="1">
      <c r="A311" s="300">
        <v>20</v>
      </c>
      <c r="E311" s="300">
        <v>20</v>
      </c>
      <c r="F311" s="326"/>
      <c r="G311" s="326"/>
      <c r="H311" s="326"/>
      <c r="I311" s="290"/>
      <c r="J311" s="291"/>
      <c r="K311" s="326"/>
      <c r="L311" s="290"/>
      <c r="M311" s="291"/>
    </row>
    <row r="312" spans="1:13" s="84" customFormat="1" ht="12" customHeight="1">
      <c r="A312" s="300">
        <v>21</v>
      </c>
      <c r="E312" s="300">
        <v>21</v>
      </c>
      <c r="F312" s="326"/>
      <c r="G312" s="326"/>
      <c r="H312" s="326"/>
      <c r="I312" s="290"/>
      <c r="J312" s="322"/>
      <c r="K312" s="326"/>
      <c r="L312" s="290"/>
      <c r="M312" s="322"/>
    </row>
    <row r="313" spans="1:13" s="84" customFormat="1" ht="12" customHeight="1">
      <c r="A313" s="300">
        <v>22</v>
      </c>
      <c r="E313" s="300">
        <v>22</v>
      </c>
      <c r="I313" s="282"/>
      <c r="J313" s="322"/>
      <c r="L313" s="282"/>
      <c r="M313" s="322"/>
    </row>
    <row r="314" spans="1:13" s="84" customFormat="1" ht="12" customHeight="1">
      <c r="A314" s="300">
        <v>23</v>
      </c>
      <c r="D314" s="347"/>
      <c r="E314" s="300">
        <v>23</v>
      </c>
      <c r="I314" s="284"/>
      <c r="J314" s="322"/>
      <c r="L314" s="284"/>
      <c r="M314" s="322"/>
    </row>
    <row r="315" spans="1:13" s="84" customFormat="1" ht="12" customHeight="1">
      <c r="A315" s="300">
        <v>24</v>
      </c>
      <c r="D315" s="347"/>
      <c r="E315" s="300">
        <v>24</v>
      </c>
      <c r="I315" s="284"/>
      <c r="J315" s="322"/>
      <c r="L315" s="284"/>
      <c r="M315" s="322"/>
    </row>
    <row r="316" spans="6:13" s="84" customFormat="1" ht="12" customHeight="1">
      <c r="F316" s="326" t="s">
        <v>1</v>
      </c>
      <c r="G316" s="326"/>
      <c r="H316" s="326"/>
      <c r="I316" s="290" t="s">
        <v>1</v>
      </c>
      <c r="J316" s="291"/>
      <c r="K316" s="326"/>
      <c r="L316" s="290"/>
      <c r="M316" s="291"/>
    </row>
    <row r="317" spans="1:13" s="84" customFormat="1" ht="12" customHeight="1">
      <c r="A317" s="300">
        <v>25</v>
      </c>
      <c r="C317" s="293" t="s">
        <v>668</v>
      </c>
      <c r="E317" s="300">
        <v>25</v>
      </c>
      <c r="H317" s="339">
        <f>SUM(H292:H315)</f>
        <v>3333</v>
      </c>
      <c r="I317" s="340"/>
      <c r="J317" s="339">
        <f>SUM(J292:J315)</f>
        <v>0</v>
      </c>
      <c r="K317" s="339"/>
      <c r="L317" s="340"/>
      <c r="M317" s="339">
        <f>SUM(M292:M315)</f>
        <v>0</v>
      </c>
    </row>
    <row r="318" spans="4:13" s="84" customFormat="1" ht="12" customHeight="1">
      <c r="D318" s="347"/>
      <c r="F318" s="326" t="s">
        <v>1</v>
      </c>
      <c r="G318" s="326"/>
      <c r="H318" s="326"/>
      <c r="I318" s="290" t="s">
        <v>1</v>
      </c>
      <c r="J318" s="291"/>
      <c r="K318" s="326"/>
      <c r="L318" s="290"/>
      <c r="M318" s="291"/>
    </row>
    <row r="319" spans="6:13" s="84" customFormat="1" ht="12" customHeight="1">
      <c r="F319" s="326"/>
      <c r="G319" s="326"/>
      <c r="H319" s="326"/>
      <c r="I319" s="290"/>
      <c r="J319" s="291"/>
      <c r="K319" s="326"/>
      <c r="L319" s="290"/>
      <c r="M319" s="291"/>
    </row>
    <row r="320" spans="9:13" s="84" customFormat="1" ht="12" customHeight="1">
      <c r="I320" s="282"/>
      <c r="J320" s="322"/>
      <c r="L320" s="282"/>
      <c r="M320" s="322"/>
    </row>
    <row r="321" spans="1:13" s="84" customFormat="1" ht="12" customHeight="1">
      <c r="A321" s="84">
        <v>26</v>
      </c>
      <c r="C321" s="84" t="s">
        <v>171</v>
      </c>
      <c r="E321" s="84">
        <v>26</v>
      </c>
      <c r="I321" s="282"/>
      <c r="J321" s="322"/>
      <c r="L321" s="282"/>
      <c r="M321" s="322"/>
    </row>
    <row r="322" spans="1:13" s="84" customFormat="1" ht="12" customHeight="1">
      <c r="A322" s="293"/>
      <c r="I322" s="284"/>
      <c r="J322" s="283"/>
      <c r="L322" s="284"/>
      <c r="M322" s="283"/>
    </row>
    <row r="323" spans="9:13" s="84" customFormat="1" ht="12" customHeight="1">
      <c r="I323" s="284"/>
      <c r="J323" s="283"/>
      <c r="L323" s="284"/>
      <c r="M323" s="283"/>
    </row>
    <row r="324" spans="9:13" s="84" customFormat="1" ht="12" customHeight="1">
      <c r="I324" s="284"/>
      <c r="J324" s="283"/>
      <c r="L324" s="284"/>
      <c r="M324" s="283"/>
    </row>
    <row r="325" spans="9:13" s="84" customFormat="1" ht="12" customHeight="1">
      <c r="I325" s="284"/>
      <c r="J325" s="283"/>
      <c r="L325" s="284"/>
      <c r="M325" s="283"/>
    </row>
    <row r="326" spans="9:13" s="84" customFormat="1" ht="12" customHeight="1">
      <c r="I326" s="284"/>
      <c r="J326" s="283"/>
      <c r="L326" s="284"/>
      <c r="M326" s="283"/>
    </row>
    <row r="327" spans="9:13" s="84" customFormat="1" ht="12" customHeight="1">
      <c r="I327" s="284"/>
      <c r="J327" s="283"/>
      <c r="L327" s="284"/>
      <c r="M327" s="283"/>
    </row>
    <row r="328" spans="9:13" s="84" customFormat="1" ht="12" customHeight="1">
      <c r="I328" s="284"/>
      <c r="J328" s="283"/>
      <c r="L328" s="284"/>
      <c r="M328" s="283"/>
    </row>
    <row r="329" spans="9:13" s="84" customFormat="1" ht="12" customHeight="1">
      <c r="I329" s="284"/>
      <c r="J329" s="283"/>
      <c r="L329" s="284"/>
      <c r="M329" s="283"/>
    </row>
    <row r="330" spans="9:13" s="84" customFormat="1" ht="12" customHeight="1">
      <c r="I330" s="284"/>
      <c r="J330" s="283"/>
      <c r="L330" s="284"/>
      <c r="M330" s="283"/>
    </row>
    <row r="331" spans="9:13" s="84" customFormat="1" ht="12" customHeight="1">
      <c r="I331" s="284"/>
      <c r="J331" s="283"/>
      <c r="L331" s="284"/>
      <c r="M331" s="283"/>
    </row>
    <row r="332" spans="9:13" s="84" customFormat="1" ht="12" customHeight="1">
      <c r="I332" s="284"/>
      <c r="J332" s="283"/>
      <c r="L332" s="284"/>
      <c r="M332" s="283"/>
    </row>
    <row r="333" spans="9:13" s="84" customFormat="1" ht="12" customHeight="1">
      <c r="I333" s="284"/>
      <c r="J333" s="283"/>
      <c r="L333" s="284"/>
      <c r="M333" s="283"/>
    </row>
    <row r="334" spans="1:13" s="84" customFormat="1" ht="12" customHeight="1">
      <c r="A334" s="281" t="str">
        <f>$A$40</f>
        <v>Institution No.:  GFA</v>
      </c>
      <c r="B334" s="286"/>
      <c r="C334" s="286"/>
      <c r="D334" s="286"/>
      <c r="E334" s="314"/>
      <c r="F334" s="286"/>
      <c r="G334" s="286"/>
      <c r="H334" s="286"/>
      <c r="I334" s="315"/>
      <c r="J334" s="316"/>
      <c r="K334" s="286"/>
      <c r="L334" s="315"/>
      <c r="M334" s="285" t="s">
        <v>56</v>
      </c>
    </row>
    <row r="335" spans="1:13" s="84" customFormat="1" ht="12" customHeight="1">
      <c r="A335" s="439" t="s">
        <v>57</v>
      </c>
      <c r="B335" s="439"/>
      <c r="C335" s="439"/>
      <c r="D335" s="439"/>
      <c r="E335" s="439"/>
      <c r="F335" s="439"/>
      <c r="G335" s="439"/>
      <c r="H335" s="439"/>
      <c r="I335" s="439"/>
      <c r="J335" s="439"/>
      <c r="K335" s="439"/>
      <c r="L335" s="439"/>
      <c r="M335" s="439"/>
    </row>
    <row r="336" spans="1:13" s="84" customFormat="1" ht="12" customHeight="1">
      <c r="A336" s="281" t="s">
        <v>663</v>
      </c>
      <c r="C336" s="286" t="s">
        <v>664</v>
      </c>
      <c r="I336" s="284"/>
      <c r="J336" s="348"/>
      <c r="L336" s="282"/>
      <c r="M336" s="288" t="str">
        <f>$M$3</f>
        <v>Date: 10/1/2007</v>
      </c>
    </row>
    <row r="337" spans="1:13" s="84" customFormat="1" ht="12" customHeight="1">
      <c r="A337" s="289" t="s">
        <v>1</v>
      </c>
      <c r="B337" s="289" t="s">
        <v>1</v>
      </c>
      <c r="C337" s="289" t="s">
        <v>1</v>
      </c>
      <c r="D337" s="289" t="s">
        <v>1</v>
      </c>
      <c r="E337" s="289" t="s">
        <v>1</v>
      </c>
      <c r="F337" s="289" t="s">
        <v>1</v>
      </c>
      <c r="G337" s="289"/>
      <c r="H337" s="289"/>
      <c r="I337" s="290" t="s">
        <v>1</v>
      </c>
      <c r="J337" s="291" t="s">
        <v>1</v>
      </c>
      <c r="K337" s="289" t="s">
        <v>1</v>
      </c>
      <c r="L337" s="290" t="s">
        <v>1</v>
      </c>
      <c r="M337" s="291" t="s">
        <v>1</v>
      </c>
    </row>
    <row r="338" spans="1:13" s="84" customFormat="1" ht="12" customHeight="1">
      <c r="A338" s="292" t="s">
        <v>2</v>
      </c>
      <c r="E338" s="292" t="s">
        <v>2</v>
      </c>
      <c r="F338" s="294"/>
      <c r="G338" s="294"/>
      <c r="H338" s="294" t="s">
        <v>172</v>
      </c>
      <c r="I338" s="295"/>
      <c r="J338" s="298" t="s">
        <v>280</v>
      </c>
      <c r="K338" s="294"/>
      <c r="L338" s="295"/>
      <c r="M338" s="298" t="s">
        <v>289</v>
      </c>
    </row>
    <row r="339" spans="1:13" s="84" customFormat="1" ht="12" customHeight="1">
      <c r="A339" s="292" t="s">
        <v>4</v>
      </c>
      <c r="C339" s="299" t="s">
        <v>20</v>
      </c>
      <c r="E339" s="292" t="s">
        <v>4</v>
      </c>
      <c r="F339" s="294"/>
      <c r="G339" s="294"/>
      <c r="H339" s="298" t="s">
        <v>7</v>
      </c>
      <c r="I339" s="295"/>
      <c r="J339" s="298" t="s">
        <v>7</v>
      </c>
      <c r="K339" s="294"/>
      <c r="L339" s="295"/>
      <c r="M339" s="298" t="s">
        <v>8</v>
      </c>
    </row>
    <row r="340" spans="1:13" s="84" customFormat="1" ht="12" customHeight="1">
      <c r="A340" s="289" t="s">
        <v>1</v>
      </c>
      <c r="B340" s="289" t="s">
        <v>1</v>
      </c>
      <c r="C340" s="289" t="s">
        <v>1</v>
      </c>
      <c r="D340" s="289" t="s">
        <v>1</v>
      </c>
      <c r="E340" s="289" t="s">
        <v>1</v>
      </c>
      <c r="F340" s="289" t="s">
        <v>1</v>
      </c>
      <c r="G340" s="289"/>
      <c r="H340" s="289"/>
      <c r="I340" s="290" t="s">
        <v>1</v>
      </c>
      <c r="J340" s="291" t="s">
        <v>1</v>
      </c>
      <c r="K340" s="289" t="s">
        <v>1</v>
      </c>
      <c r="L340" s="290" t="s">
        <v>1</v>
      </c>
      <c r="M340" s="291" t="s">
        <v>1</v>
      </c>
    </row>
    <row r="341" spans="1:13" s="84" customFormat="1" ht="12" customHeight="1">
      <c r="A341" s="321">
        <v>1</v>
      </c>
      <c r="C341" s="84" t="s">
        <v>58</v>
      </c>
      <c r="E341" s="321">
        <v>1</v>
      </c>
      <c r="F341" s="323"/>
      <c r="G341" s="323"/>
      <c r="H341" s="324"/>
      <c r="I341" s="324"/>
      <c r="J341" s="324"/>
      <c r="K341" s="324"/>
      <c r="L341" s="324"/>
      <c r="M341" s="324"/>
    </row>
    <row r="342" spans="1:13" s="84" customFormat="1" ht="12" customHeight="1">
      <c r="A342" s="321">
        <v>2</v>
      </c>
      <c r="E342" s="321">
        <v>2</v>
      </c>
      <c r="F342" s="323"/>
      <c r="G342" s="323"/>
      <c r="H342" s="324"/>
      <c r="I342" s="324"/>
      <c r="J342" s="324"/>
      <c r="K342" s="324"/>
      <c r="L342" s="324"/>
      <c r="M342" s="324">
        <v>0</v>
      </c>
    </row>
    <row r="343" spans="1:13" s="84" customFormat="1" ht="12" customHeight="1">
      <c r="A343" s="321">
        <v>3</v>
      </c>
      <c r="C343" s="323"/>
      <c r="E343" s="321">
        <v>3</v>
      </c>
      <c r="F343" s="323"/>
      <c r="G343" s="323"/>
      <c r="H343" s="324">
        <v>0</v>
      </c>
      <c r="I343" s="324"/>
      <c r="J343" s="324">
        <v>0</v>
      </c>
      <c r="K343" s="324"/>
      <c r="L343" s="324"/>
      <c r="M343" s="324">
        <v>0</v>
      </c>
    </row>
    <row r="344" spans="1:13" s="84" customFormat="1" ht="12" customHeight="1">
      <c r="A344" s="321">
        <v>4</v>
      </c>
      <c r="C344" s="323"/>
      <c r="E344" s="321">
        <v>4</v>
      </c>
      <c r="F344" s="323"/>
      <c r="G344" s="323"/>
      <c r="H344" s="324">
        <v>0</v>
      </c>
      <c r="I344" s="324"/>
      <c r="J344" s="324">
        <v>0</v>
      </c>
      <c r="K344" s="324"/>
      <c r="L344" s="324"/>
      <c r="M344" s="324">
        <v>0</v>
      </c>
    </row>
    <row r="345" spans="1:13" s="84" customFormat="1" ht="12" customHeight="1">
      <c r="A345" s="321">
        <v>5</v>
      </c>
      <c r="C345" s="293"/>
      <c r="E345" s="321">
        <v>5</v>
      </c>
      <c r="F345" s="323"/>
      <c r="G345" s="323"/>
      <c r="H345" s="324">
        <v>0</v>
      </c>
      <c r="I345" s="324"/>
      <c r="J345" s="324">
        <v>0</v>
      </c>
      <c r="K345" s="324"/>
      <c r="L345" s="324"/>
      <c r="M345" s="324">
        <v>0</v>
      </c>
    </row>
    <row r="346" spans="1:13" s="84" customFormat="1" ht="12" customHeight="1">
      <c r="A346" s="321">
        <v>6</v>
      </c>
      <c r="C346" s="323"/>
      <c r="E346" s="321">
        <v>6</v>
      </c>
      <c r="F346" s="323"/>
      <c r="G346" s="323"/>
      <c r="H346" s="324">
        <v>0</v>
      </c>
      <c r="I346" s="324"/>
      <c r="J346" s="324">
        <v>0</v>
      </c>
      <c r="K346" s="324"/>
      <c r="L346" s="324"/>
      <c r="M346" s="324">
        <v>0</v>
      </c>
    </row>
    <row r="347" spans="1:13" s="84" customFormat="1" ht="12" customHeight="1">
      <c r="A347" s="321">
        <v>7</v>
      </c>
      <c r="C347" s="323"/>
      <c r="E347" s="321">
        <v>7</v>
      </c>
      <c r="F347" s="323"/>
      <c r="G347" s="323"/>
      <c r="H347" s="324">
        <v>0</v>
      </c>
      <c r="I347" s="324"/>
      <c r="J347" s="324">
        <v>0</v>
      </c>
      <c r="K347" s="324"/>
      <c r="L347" s="324"/>
      <c r="M347" s="324">
        <v>0</v>
      </c>
    </row>
    <row r="348" spans="1:13" s="84" customFormat="1" ht="12" customHeight="1">
      <c r="A348" s="321">
        <v>8</v>
      </c>
      <c r="E348" s="321">
        <v>8</v>
      </c>
      <c r="F348" s="323"/>
      <c r="G348" s="323"/>
      <c r="H348" s="324">
        <v>0</v>
      </c>
      <c r="I348" s="324"/>
      <c r="J348" s="324">
        <v>0</v>
      </c>
      <c r="K348" s="324"/>
      <c r="L348" s="324"/>
      <c r="M348" s="324">
        <v>0</v>
      </c>
    </row>
    <row r="349" spans="1:13" s="84" customFormat="1" ht="12" customHeight="1">
      <c r="A349" s="321">
        <v>9</v>
      </c>
      <c r="E349" s="321">
        <v>9</v>
      </c>
      <c r="F349" s="323"/>
      <c r="G349" s="323"/>
      <c r="H349" s="324">
        <v>0</v>
      </c>
      <c r="I349" s="324"/>
      <c r="J349" s="324">
        <v>0</v>
      </c>
      <c r="K349" s="324"/>
      <c r="L349" s="324"/>
      <c r="M349" s="324">
        <v>0</v>
      </c>
    </row>
    <row r="350" spans="1:13" s="84" customFormat="1" ht="12" customHeight="1">
      <c r="A350" s="333"/>
      <c r="E350" s="333"/>
      <c r="F350" s="326" t="s">
        <v>1</v>
      </c>
      <c r="G350" s="326"/>
      <c r="H350" s="349"/>
      <c r="I350" s="349" t="s">
        <v>1</v>
      </c>
      <c r="J350" s="349"/>
      <c r="K350" s="349"/>
      <c r="L350" s="349"/>
      <c r="M350" s="349"/>
    </row>
    <row r="351" spans="1:13" s="84" customFormat="1" ht="12" customHeight="1">
      <c r="A351" s="321">
        <v>10</v>
      </c>
      <c r="C351" s="84" t="s">
        <v>98</v>
      </c>
      <c r="E351" s="321">
        <v>10</v>
      </c>
      <c r="H351" s="339">
        <f>SUM(H341:H349)</f>
        <v>0</v>
      </c>
      <c r="I351" s="340"/>
      <c r="J351" s="324">
        <f>SUM(J341:J349)</f>
        <v>0</v>
      </c>
      <c r="K351" s="339"/>
      <c r="L351" s="340"/>
      <c r="M351" s="324">
        <f>SUM(M341:M349)</f>
        <v>0</v>
      </c>
    </row>
    <row r="352" spans="1:13" s="84" customFormat="1" ht="12" customHeight="1">
      <c r="A352" s="321"/>
      <c r="E352" s="321"/>
      <c r="F352" s="326" t="s">
        <v>1</v>
      </c>
      <c r="G352" s="326"/>
      <c r="H352" s="349"/>
      <c r="I352" s="349" t="s">
        <v>1</v>
      </c>
      <c r="J352" s="349"/>
      <c r="K352" s="349"/>
      <c r="L352" s="349"/>
      <c r="M352" s="349"/>
    </row>
    <row r="353" spans="1:13" s="84" customFormat="1" ht="12" customHeight="1">
      <c r="A353" s="321">
        <v>11</v>
      </c>
      <c r="C353" s="323"/>
      <c r="E353" s="321">
        <v>11</v>
      </c>
      <c r="F353" s="323"/>
      <c r="G353" s="323"/>
      <c r="H353" s="324"/>
      <c r="I353" s="324"/>
      <c r="J353" s="324"/>
      <c r="K353" s="324"/>
      <c r="L353" s="324"/>
      <c r="M353" s="324"/>
    </row>
    <row r="354" spans="1:13" s="84" customFormat="1" ht="12" customHeight="1">
      <c r="A354" s="321">
        <v>12</v>
      </c>
      <c r="C354" s="293" t="s">
        <v>169</v>
      </c>
      <c r="E354" s="321">
        <v>12</v>
      </c>
      <c r="F354" s="323"/>
      <c r="G354" s="323"/>
      <c r="H354" s="324">
        <v>11472994.6</v>
      </c>
      <c r="I354" s="324"/>
      <c r="J354" s="324">
        <v>26567771.59</v>
      </c>
      <c r="K354" s="324"/>
      <c r="L354" s="324"/>
      <c r="M354" s="324">
        <f>+M70</f>
        <v>13821656</v>
      </c>
    </row>
    <row r="355" spans="1:13" s="84" customFormat="1" ht="12" customHeight="1">
      <c r="A355" s="321">
        <v>13</v>
      </c>
      <c r="C355" s="323" t="s">
        <v>660</v>
      </c>
      <c r="E355" s="321">
        <v>13</v>
      </c>
      <c r="F355" s="323"/>
      <c r="G355" s="323"/>
      <c r="H355" s="324">
        <v>-1</v>
      </c>
      <c r="I355" s="324"/>
      <c r="J355" s="324">
        <v>0</v>
      </c>
      <c r="K355" s="324"/>
      <c r="L355" s="324"/>
      <c r="M355" s="324">
        <v>0</v>
      </c>
    </row>
    <row r="356" spans="1:13" s="84" customFormat="1" ht="12" customHeight="1">
      <c r="A356" s="321">
        <v>14</v>
      </c>
      <c r="E356" s="321">
        <v>14</v>
      </c>
      <c r="F356" s="323"/>
      <c r="G356" s="323"/>
      <c r="H356" s="324"/>
      <c r="I356" s="324"/>
      <c r="J356" s="324"/>
      <c r="K356" s="324"/>
      <c r="L356" s="324"/>
      <c r="M356" s="324">
        <v>0</v>
      </c>
    </row>
    <row r="357" spans="1:13" s="84" customFormat="1" ht="12" customHeight="1">
      <c r="A357" s="321">
        <v>15</v>
      </c>
      <c r="E357" s="321">
        <v>15</v>
      </c>
      <c r="F357" s="323"/>
      <c r="G357" s="323"/>
      <c r="H357" s="324"/>
      <c r="I357" s="324"/>
      <c r="J357" s="324"/>
      <c r="K357" s="324"/>
      <c r="L357" s="324"/>
      <c r="M357" s="324">
        <v>0</v>
      </c>
    </row>
    <row r="358" spans="1:13" s="286" customFormat="1" ht="12" customHeight="1">
      <c r="A358" s="321">
        <v>16</v>
      </c>
      <c r="B358" s="84"/>
      <c r="C358" s="84"/>
      <c r="D358" s="84"/>
      <c r="E358" s="321">
        <v>16</v>
      </c>
      <c r="F358" s="323"/>
      <c r="G358" s="323"/>
      <c r="H358" s="324"/>
      <c r="I358" s="324"/>
      <c r="J358" s="324">
        <v>0</v>
      </c>
      <c r="K358" s="324"/>
      <c r="L358" s="324"/>
      <c r="M358" s="324">
        <v>0</v>
      </c>
    </row>
    <row r="359" spans="1:13" s="286" customFormat="1" ht="12" customHeight="1">
      <c r="A359" s="321">
        <v>17</v>
      </c>
      <c r="B359" s="84"/>
      <c r="C359" s="327"/>
      <c r="D359" s="332"/>
      <c r="E359" s="321">
        <v>17</v>
      </c>
      <c r="F359" s="323"/>
      <c r="G359" s="323"/>
      <c r="H359" s="324"/>
      <c r="I359" s="324"/>
      <c r="J359" s="324">
        <v>0</v>
      </c>
      <c r="K359" s="324"/>
      <c r="L359" s="324"/>
      <c r="M359" s="324">
        <v>0</v>
      </c>
    </row>
    <row r="360" spans="1:13" s="84" customFormat="1" ht="12" customHeight="1">
      <c r="A360" s="321">
        <v>18</v>
      </c>
      <c r="C360" s="332"/>
      <c r="D360" s="332"/>
      <c r="E360" s="321">
        <v>18</v>
      </c>
      <c r="F360" s="323"/>
      <c r="G360" s="323"/>
      <c r="H360" s="324">
        <v>0</v>
      </c>
      <c r="I360" s="324"/>
      <c r="J360" s="324">
        <v>0</v>
      </c>
      <c r="K360" s="324"/>
      <c r="L360" s="324"/>
      <c r="M360" s="324">
        <v>0</v>
      </c>
    </row>
    <row r="361" spans="1:13" s="84" customFormat="1" ht="12" customHeight="1">
      <c r="A361" s="321"/>
      <c r="C361" s="350"/>
      <c r="D361" s="332"/>
      <c r="E361" s="321"/>
      <c r="F361" s="326" t="s">
        <v>1</v>
      </c>
      <c r="G361" s="326"/>
      <c r="H361" s="326"/>
      <c r="I361" s="290" t="s">
        <v>1</v>
      </c>
      <c r="J361" s="291"/>
      <c r="K361" s="326"/>
      <c r="L361" s="290"/>
      <c r="M361" s="291"/>
    </row>
    <row r="362" spans="1:13" s="84" customFormat="1" ht="12" customHeight="1">
      <c r="A362" s="321">
        <v>19</v>
      </c>
      <c r="C362" s="84" t="s">
        <v>170</v>
      </c>
      <c r="D362" s="332"/>
      <c r="E362" s="321">
        <v>19</v>
      </c>
      <c r="H362" s="339">
        <f>SUM(H353:H360)</f>
        <v>11472993.6</v>
      </c>
      <c r="I362" s="339"/>
      <c r="J362" s="339">
        <f>SUM(J353:J360)</f>
        <v>26567771.59</v>
      </c>
      <c r="K362" s="324"/>
      <c r="L362" s="324"/>
      <c r="M362" s="339">
        <f>SUM(M353:M360)</f>
        <v>13821656</v>
      </c>
    </row>
    <row r="363" spans="1:13" s="84" customFormat="1" ht="12" customHeight="1">
      <c r="A363" s="321"/>
      <c r="C363" s="350"/>
      <c r="D363" s="332"/>
      <c r="E363" s="321"/>
      <c r="F363" s="326" t="s">
        <v>1</v>
      </c>
      <c r="G363" s="326"/>
      <c r="H363" s="326"/>
      <c r="I363" s="290" t="s">
        <v>1</v>
      </c>
      <c r="J363" s="291"/>
      <c r="K363" s="326"/>
      <c r="L363" s="290"/>
      <c r="M363" s="291"/>
    </row>
    <row r="364" spans="1:13" s="84" customFormat="1" ht="12" customHeight="1">
      <c r="A364" s="321"/>
      <c r="C364" s="332"/>
      <c r="D364" s="332"/>
      <c r="E364" s="321"/>
      <c r="I364" s="284"/>
      <c r="J364" s="336"/>
      <c r="L364" s="284"/>
      <c r="M364" s="283"/>
    </row>
    <row r="365" spans="1:13" s="84" customFormat="1" ht="12" customHeight="1">
      <c r="A365" s="321">
        <v>20</v>
      </c>
      <c r="C365" s="293" t="s">
        <v>669</v>
      </c>
      <c r="E365" s="321">
        <v>20</v>
      </c>
      <c r="H365" s="339">
        <f>SUM(H351,H362)</f>
        <v>11472993.6</v>
      </c>
      <c r="I365" s="340"/>
      <c r="J365" s="339">
        <f>SUM(J351,J362)</f>
        <v>26567771.59</v>
      </c>
      <c r="K365" s="339"/>
      <c r="L365" s="340"/>
      <c r="M365" s="339">
        <f>SUM(M351,M362)</f>
        <v>13821656</v>
      </c>
    </row>
    <row r="366" spans="3:13" s="84" customFormat="1" ht="12" customHeight="1">
      <c r="C366" s="308" t="s">
        <v>99</v>
      </c>
      <c r="E366" s="313"/>
      <c r="F366" s="326" t="s">
        <v>1</v>
      </c>
      <c r="G366" s="326"/>
      <c r="H366" s="326"/>
      <c r="I366" s="290" t="s">
        <v>1</v>
      </c>
      <c r="J366" s="291"/>
      <c r="K366" s="326"/>
      <c r="L366" s="290"/>
      <c r="M366" s="291"/>
    </row>
    <row r="367" spans="3:13" s="84" customFormat="1" ht="12" customHeight="1">
      <c r="C367" s="293" t="s">
        <v>0</v>
      </c>
      <c r="I367" s="284"/>
      <c r="J367" s="283"/>
      <c r="L367" s="284"/>
      <c r="M367" s="283"/>
    </row>
    <row r="368" spans="4:13" s="84" customFormat="1" ht="12" customHeight="1">
      <c r="D368" s="294"/>
      <c r="I368" s="284"/>
      <c r="J368" s="283"/>
      <c r="L368" s="284"/>
      <c r="M368" s="283"/>
    </row>
    <row r="369" spans="4:13" ht="12.75">
      <c r="D369" s="271"/>
      <c r="I369" s="275"/>
      <c r="J369" s="279"/>
      <c r="K369" s="280"/>
      <c r="L369" s="275"/>
      <c r="M369" s="279"/>
    </row>
    <row r="370" spans="4:13" ht="12.75">
      <c r="D370" s="271"/>
      <c r="I370" s="275"/>
      <c r="J370" s="279"/>
      <c r="K370" s="280"/>
      <c r="L370" s="275"/>
      <c r="M370" s="279"/>
    </row>
    <row r="371" spans="4:13" ht="12.75">
      <c r="D371" s="271"/>
      <c r="I371" s="275"/>
      <c r="J371" s="279"/>
      <c r="K371" s="280"/>
      <c r="L371" s="275"/>
      <c r="M371" s="279"/>
    </row>
    <row r="372" spans="4:13" ht="12.75">
      <c r="D372" s="271"/>
      <c r="I372" s="275"/>
      <c r="J372" s="279"/>
      <c r="K372" s="280"/>
      <c r="L372" s="275"/>
      <c r="M372" s="279"/>
    </row>
    <row r="373" spans="4:13" ht="12.75">
      <c r="D373" s="271"/>
      <c r="I373" s="275"/>
      <c r="J373" s="279"/>
      <c r="K373" s="280"/>
      <c r="L373" s="275"/>
      <c r="M373" s="279"/>
    </row>
    <row r="374" spans="4:13" ht="12.75">
      <c r="D374" s="271"/>
      <c r="I374" s="275"/>
      <c r="J374" s="279"/>
      <c r="K374" s="280"/>
      <c r="L374" s="275"/>
      <c r="M374" s="279"/>
    </row>
    <row r="375" spans="4:13" ht="12.75">
      <c r="D375" s="271"/>
      <c r="I375" s="275"/>
      <c r="J375" s="279"/>
      <c r="K375" s="280"/>
      <c r="L375" s="275"/>
      <c r="M375" s="279"/>
    </row>
    <row r="376" spans="4:13" ht="12.75">
      <c r="D376" s="271"/>
      <c r="I376" s="275"/>
      <c r="J376" s="279"/>
      <c r="K376" s="280"/>
      <c r="L376" s="275"/>
      <c r="M376" s="279"/>
    </row>
    <row r="377" spans="4:13" ht="12.75">
      <c r="D377" s="271"/>
      <c r="I377" s="275"/>
      <c r="J377" s="279"/>
      <c r="K377" s="280"/>
      <c r="L377" s="275"/>
      <c r="M377" s="279"/>
    </row>
    <row r="378" spans="4:13" ht="12.75">
      <c r="D378" s="271"/>
      <c r="I378" s="275"/>
      <c r="J378" s="279"/>
      <c r="K378" s="280"/>
      <c r="L378" s="275"/>
      <c r="M378" s="279"/>
    </row>
    <row r="379" spans="4:13" ht="12.75">
      <c r="D379" s="271"/>
      <c r="I379" s="275"/>
      <c r="J379" s="279"/>
      <c r="K379" s="280"/>
      <c r="L379" s="275"/>
      <c r="M379" s="279"/>
    </row>
    <row r="380" spans="4:13" ht="12.75">
      <c r="D380" s="271"/>
      <c r="I380" s="275"/>
      <c r="J380" s="279"/>
      <c r="K380" s="280"/>
      <c r="L380" s="275"/>
      <c r="M380" s="279"/>
    </row>
    <row r="381" spans="4:13" ht="12.75">
      <c r="D381" s="271"/>
      <c r="I381" s="275"/>
      <c r="J381" s="279"/>
      <c r="K381" s="280"/>
      <c r="L381" s="275"/>
      <c r="M381" s="279"/>
    </row>
    <row r="382" spans="4:13" ht="12.75">
      <c r="D382" s="271"/>
      <c r="I382" s="275"/>
      <c r="J382" s="279"/>
      <c r="K382" s="280"/>
      <c r="L382" s="275"/>
      <c r="M382" s="279"/>
    </row>
    <row r="383" spans="4:13" ht="12.75">
      <c r="D383" s="271"/>
      <c r="I383" s="275"/>
      <c r="J383" s="279"/>
      <c r="K383" s="280"/>
      <c r="L383" s="275"/>
      <c r="M383" s="279"/>
    </row>
    <row r="384" spans="4:13" ht="12.75">
      <c r="D384" s="271"/>
      <c r="I384" s="275"/>
      <c r="J384" s="279"/>
      <c r="K384" s="280"/>
      <c r="L384" s="275"/>
      <c r="M384" s="279"/>
    </row>
    <row r="385" spans="4:13" ht="12.75">
      <c r="D385" s="271"/>
      <c r="I385" s="275"/>
      <c r="J385" s="279"/>
      <c r="K385" s="280"/>
      <c r="L385" s="275"/>
      <c r="M385" s="279"/>
    </row>
    <row r="386" spans="4:13" ht="12.75">
      <c r="D386" s="271"/>
      <c r="I386" s="275"/>
      <c r="J386" s="279"/>
      <c r="K386" s="280"/>
      <c r="L386" s="275"/>
      <c r="M386" s="279"/>
    </row>
    <row r="387" spans="1:13" s="277" customFormat="1" ht="12.75">
      <c r="A387" s="267"/>
      <c r="B387" s="267"/>
      <c r="C387" s="267"/>
      <c r="D387" s="271"/>
      <c r="E387" s="267"/>
      <c r="F387" s="267"/>
      <c r="G387" s="267"/>
      <c r="H387" s="267"/>
      <c r="I387" s="275"/>
      <c r="J387" s="279"/>
      <c r="K387" s="280"/>
      <c r="L387" s="275"/>
      <c r="M387" s="279"/>
    </row>
    <row r="388" spans="1:13" s="277" customFormat="1" ht="12.75">
      <c r="A388" s="267"/>
      <c r="B388" s="267"/>
      <c r="C388" s="267"/>
      <c r="D388" s="271"/>
      <c r="E388" s="267"/>
      <c r="F388" s="267"/>
      <c r="G388" s="267"/>
      <c r="H388" s="267"/>
      <c r="I388" s="275"/>
      <c r="J388" s="279"/>
      <c r="K388" s="280"/>
      <c r="L388" s="275"/>
      <c r="M388" s="279"/>
    </row>
    <row r="389" spans="4:13" ht="12.75">
      <c r="D389" s="271"/>
      <c r="I389" s="275"/>
      <c r="J389" s="279"/>
      <c r="K389" s="280"/>
      <c r="L389" s="275"/>
      <c r="M389" s="279"/>
    </row>
    <row r="390" spans="4:13" ht="12.75">
      <c r="D390" s="271"/>
      <c r="I390" s="275"/>
      <c r="J390" s="279"/>
      <c r="K390" s="280"/>
      <c r="L390" s="275"/>
      <c r="M390" s="279"/>
    </row>
    <row r="391" spans="4:13" ht="12.75">
      <c r="D391" s="271"/>
      <c r="I391" s="275"/>
      <c r="J391" s="279"/>
      <c r="K391" s="280"/>
      <c r="L391" s="275"/>
      <c r="M391" s="279"/>
    </row>
    <row r="392" spans="4:13" ht="12.75">
      <c r="D392" s="271"/>
      <c r="I392" s="275"/>
      <c r="J392" s="279"/>
      <c r="K392" s="280"/>
      <c r="L392" s="275"/>
      <c r="M392" s="279"/>
    </row>
    <row r="393" spans="4:13" ht="12.75">
      <c r="D393" s="271"/>
      <c r="I393" s="275"/>
      <c r="J393" s="279"/>
      <c r="K393" s="280"/>
      <c r="L393" s="275"/>
      <c r="M393" s="279"/>
    </row>
    <row r="424" spans="1:13" s="277" customFormat="1" ht="12.75">
      <c r="A424" s="267"/>
      <c r="B424" s="267"/>
      <c r="C424" s="267"/>
      <c r="D424" s="267"/>
      <c r="E424" s="267"/>
      <c r="F424" s="267"/>
      <c r="G424" s="267"/>
      <c r="H424" s="267"/>
      <c r="I424" s="268"/>
      <c r="J424" s="269"/>
      <c r="K424" s="267"/>
      <c r="L424" s="268"/>
      <c r="M424" s="269"/>
    </row>
    <row r="425" spans="1:13" s="277" customFormat="1" ht="12.75">
      <c r="A425" s="267"/>
      <c r="B425" s="267"/>
      <c r="C425" s="267"/>
      <c r="D425" s="267"/>
      <c r="E425" s="267"/>
      <c r="F425" s="267"/>
      <c r="G425" s="267"/>
      <c r="H425" s="267"/>
      <c r="I425" s="268"/>
      <c r="J425" s="269"/>
      <c r="K425" s="267"/>
      <c r="L425" s="268"/>
      <c r="M425" s="269"/>
    </row>
    <row r="432" spans="4:13" ht="12.75">
      <c r="D432" s="276"/>
      <c r="F432" s="278"/>
      <c r="G432" s="278"/>
      <c r="H432" s="278"/>
      <c r="I432" s="275"/>
      <c r="J432" s="279"/>
      <c r="L432" s="275"/>
      <c r="M432" s="279"/>
    </row>
    <row r="460" spans="1:13" s="277" customFormat="1" ht="12.75">
      <c r="A460" s="267"/>
      <c r="B460" s="267"/>
      <c r="C460" s="267"/>
      <c r="D460" s="267"/>
      <c r="E460" s="267"/>
      <c r="F460" s="267"/>
      <c r="G460" s="267"/>
      <c r="H460" s="267"/>
      <c r="I460" s="268"/>
      <c r="J460" s="269"/>
      <c r="K460" s="267"/>
      <c r="L460" s="268"/>
      <c r="M460" s="269"/>
    </row>
    <row r="461" spans="1:13" s="277" customFormat="1" ht="12.75">
      <c r="A461" s="267"/>
      <c r="B461" s="267"/>
      <c r="C461" s="267"/>
      <c r="D461" s="267"/>
      <c r="E461" s="267"/>
      <c r="F461" s="267"/>
      <c r="G461" s="267"/>
      <c r="H461" s="267"/>
      <c r="I461" s="268"/>
      <c r="J461" s="269"/>
      <c r="K461" s="267"/>
      <c r="L461" s="268"/>
      <c r="M461" s="269"/>
    </row>
    <row r="511" spans="1:13" s="277" customFormat="1" ht="12.75">
      <c r="A511" s="267"/>
      <c r="B511" s="267"/>
      <c r="C511" s="267"/>
      <c r="D511" s="267"/>
      <c r="E511" s="267"/>
      <c r="F511" s="267"/>
      <c r="G511" s="267"/>
      <c r="H511" s="267"/>
      <c r="I511" s="268"/>
      <c r="J511" s="269"/>
      <c r="K511" s="267"/>
      <c r="L511" s="268"/>
      <c r="M511" s="269"/>
    </row>
    <row r="512" spans="1:13" s="277" customFormat="1" ht="12.75">
      <c r="A512" s="267"/>
      <c r="B512" s="267"/>
      <c r="C512" s="267"/>
      <c r="D512" s="267"/>
      <c r="E512" s="267"/>
      <c r="F512" s="267"/>
      <c r="G512" s="267"/>
      <c r="H512" s="267"/>
      <c r="I512" s="268"/>
      <c r="J512" s="269"/>
      <c r="K512" s="267"/>
      <c r="L512" s="268"/>
      <c r="M512" s="269"/>
    </row>
    <row r="550" spans="1:13" s="277" customFormat="1" ht="12.75">
      <c r="A550" s="267"/>
      <c r="B550" s="267"/>
      <c r="C550" s="267"/>
      <c r="D550" s="267"/>
      <c r="E550" s="267"/>
      <c r="F550" s="267"/>
      <c r="G550" s="267"/>
      <c r="H550" s="267"/>
      <c r="I550" s="268"/>
      <c r="J550" s="269"/>
      <c r="K550" s="267"/>
      <c r="L550" s="268"/>
      <c r="M550" s="269"/>
    </row>
    <row r="551" spans="1:13" s="277" customFormat="1" ht="12.75">
      <c r="A551" s="267"/>
      <c r="B551" s="267"/>
      <c r="C551" s="267"/>
      <c r="D551" s="267"/>
      <c r="E551" s="267"/>
      <c r="F551" s="267"/>
      <c r="G551" s="267"/>
      <c r="H551" s="267"/>
      <c r="I551" s="268"/>
      <c r="J551" s="269"/>
      <c r="K551" s="267"/>
      <c r="L551" s="268"/>
      <c r="M551" s="269"/>
    </row>
    <row r="586" spans="1:13" s="277" customFormat="1" ht="12.75">
      <c r="A586" s="267"/>
      <c r="B586" s="267"/>
      <c r="C586" s="267"/>
      <c r="D586" s="267"/>
      <c r="E586" s="267"/>
      <c r="F586" s="267"/>
      <c r="G586" s="267"/>
      <c r="H586" s="267"/>
      <c r="I586" s="268"/>
      <c r="J586" s="269"/>
      <c r="K586" s="267"/>
      <c r="L586" s="268"/>
      <c r="M586" s="269"/>
    </row>
    <row r="587" spans="1:13" s="277" customFormat="1" ht="12.75">
      <c r="A587" s="267"/>
      <c r="B587" s="267"/>
      <c r="C587" s="267"/>
      <c r="D587" s="267"/>
      <c r="E587" s="267"/>
      <c r="F587" s="267"/>
      <c r="G587" s="267"/>
      <c r="H587" s="267"/>
      <c r="I587" s="268"/>
      <c r="J587" s="269"/>
      <c r="K587" s="267"/>
      <c r="L587" s="268"/>
      <c r="M587" s="269"/>
    </row>
    <row r="621" spans="1:13" s="277" customFormat="1" ht="12.75">
      <c r="A621" s="267"/>
      <c r="B621" s="267"/>
      <c r="C621" s="267"/>
      <c r="D621" s="267"/>
      <c r="E621" s="267"/>
      <c r="F621" s="267"/>
      <c r="G621" s="267"/>
      <c r="H621" s="267"/>
      <c r="I621" s="268"/>
      <c r="J621" s="269"/>
      <c r="K621" s="267"/>
      <c r="L621" s="268"/>
      <c r="M621" s="269"/>
    </row>
    <row r="622" spans="1:13" s="277" customFormat="1" ht="12.75" customHeight="1">
      <c r="A622" s="267"/>
      <c r="B622" s="267"/>
      <c r="C622" s="267"/>
      <c r="D622" s="267"/>
      <c r="E622" s="267"/>
      <c r="F622" s="267"/>
      <c r="G622" s="267"/>
      <c r="H622" s="267"/>
      <c r="I622" s="268"/>
      <c r="J622" s="269"/>
      <c r="K622" s="267"/>
      <c r="L622" s="268"/>
      <c r="M622" s="269"/>
    </row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</sheetData>
  <sheetProtection/>
  <mergeCells count="11">
    <mergeCell ref="A28:J28"/>
    <mergeCell ref="A21:M21"/>
    <mergeCell ref="A335:M335"/>
    <mergeCell ref="A188:M188"/>
    <mergeCell ref="A237:M237"/>
    <mergeCell ref="A5:J5"/>
    <mergeCell ref="A8:J8"/>
    <mergeCell ref="A9:J9"/>
    <mergeCell ref="A286:M286"/>
    <mergeCell ref="A41:M41"/>
    <mergeCell ref="A20:M20"/>
  </mergeCells>
  <printOptions/>
  <pageMargins left="0.75" right="0.75" top="1" bottom="1" header="0.5" footer="0.5"/>
  <pageSetup fitToHeight="0" fitToWidth="1" horizontalDpi="600" verticalDpi="600" orientation="landscape" scale="70" r:id="rId1"/>
  <rowBreaks count="7" manualBreakCount="7">
    <brk id="39" max="12" man="1"/>
    <brk id="88" max="255" man="1"/>
    <brk id="137" max="255" man="1"/>
    <brk id="186" max="255" man="1"/>
    <brk id="235" max="255" man="1"/>
    <brk id="284" max="255" man="1"/>
    <brk id="3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Giang</dc:creator>
  <cp:keywords/>
  <dc:description/>
  <cp:lastModifiedBy>Jill Taylor</cp:lastModifiedBy>
  <cp:lastPrinted>2013-07-17T16:52:39Z</cp:lastPrinted>
  <dcterms:created xsi:type="dcterms:W3CDTF">2000-07-06T16:57:05Z</dcterms:created>
  <dcterms:modified xsi:type="dcterms:W3CDTF">2013-07-17T16:52:52Z</dcterms:modified>
  <cp:category/>
  <cp:version/>
  <cp:contentType/>
  <cp:contentStatus/>
</cp:coreProperties>
</file>